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810"/>
  <workbookPr codeName="ThisWorkbook" hidePivotFieldList="1" autoCompressPictures="0"/>
  <bookViews>
    <workbookView xWindow="80" yWindow="0" windowWidth="25040" windowHeight="14300" tabRatio="538"/>
  </bookViews>
  <sheets>
    <sheet name="Instructions" sheetId="9" r:id="rId1"/>
    <sheet name="Service_Cost_Summary" sheetId="8" r:id="rId2"/>
    <sheet name="Cost_Breakdown_ActivityandType" sheetId="7" r:id="rId3"/>
    <sheet name="GT_Cost_DataSheet_PY2" sheetId="5" r:id="rId4"/>
    <sheet name="Project real cost_PY2(old)" sheetId="4" r:id="rId5"/>
  </sheets>
  <externalReferences>
    <externalReference r:id="rId6"/>
    <externalReference r:id="rId7"/>
  </externalReferences>
  <definedNames>
    <definedName name="_xlnm._FilterDatabase" localSheetId="2" hidden="1">Cost_Breakdown_ActivityandType!$A$1:$L$1</definedName>
    <definedName name="_xlnm._FilterDatabase" localSheetId="3" hidden="1">GT_Cost_DataSheet_PY2!$A$1:$AK$1</definedName>
    <definedName name="_xlnm._FilterDatabase" localSheetId="4" hidden="1">'Project real cost_PY2(old)'!$A$1:$AB$1</definedName>
    <definedName name="Adjustments1">[1]Template!$B$37</definedName>
    <definedName name="Adjustments2">[1]Template!$E$37</definedName>
    <definedName name="Adjustments3">[1]Template!$H$37</definedName>
    <definedName name="Adjustments4">[1]Template!$K$37</definedName>
    <definedName name="auditCertificateCoverageFlag">[1]Template!$M$57</definedName>
    <definedName name="auditCertificateNeededFlag">[1]Template!$L$56</definedName>
    <definedName name="costModel">[1]Template!$D$11</definedName>
    <definedName name="directCosts1">[1]Template!$B$34</definedName>
    <definedName name="directCosts2">[1]Template!$E$34</definedName>
    <definedName name="directCosts3">[1]Template!$H$34</definedName>
    <definedName name="directCosts4">[1]Template!$K$34</definedName>
    <definedName name="financialOfficerDate">[1]Template!$I$94</definedName>
    <definedName name="FlatRate">[1]Template!$K$12</definedName>
    <definedName name="indirectCosts1">[1]Template!$B$36</definedName>
    <definedName name="indirectCosts2">[1]Template!$E$36</definedName>
    <definedName name="indirectCosts3">[1]Template!$H$36</definedName>
    <definedName name="indirectCosts4">[1]Template!$K$36</definedName>
    <definedName name="interestEarnedAmount">[1]Template!$L$50</definedName>
    <definedName name="InterestEarnedFlag">[1]Template!$M$49</definedName>
    <definedName name="LST_costModel">OFFSET([1]List!$A$1,1,0,COUNTA([1]List!$A:$A)-1,1)</definedName>
    <definedName name="LST_costModelLookup">[1]List!$A$1</definedName>
    <definedName name="LST_instrumentType">OFFSET([2]List!$D$1,1,0,COUNTA([2]List!$D$1:$D$65536)-1,1)</definedName>
    <definedName name="LST_instrumentTypeLookup">[1]List!$D$1</definedName>
    <definedName name="LST_legalType">OFFSET([1]List!$C$1,1,0,COUNTA([1]List!$C:$C)-1,1)</definedName>
    <definedName name="LST_YesNo">OFFSET([1]List!$F$1,1,0,COUNTA([1]List!$F:$F)-1,1)</definedName>
    <definedName name="maxCosts1">[1]Template!$B$39</definedName>
    <definedName name="maxCosts2">[1]Template!$E$39</definedName>
    <definedName name="REP_A">'[1]Summary report'!$H$269:$I$273,'[1]Summary report'!$H$275:$I$276,'[1]Summary report'!$H$278:$I$279</definedName>
    <definedName name="REP_B">'[1]Summary report'!$K$269:$L$273,'[1]Summary report'!$K$275:$L$276,'[1]Summary report'!$K$278:$L$279</definedName>
    <definedName name="REP_contractno">'[1]Summary report'!$R$3</definedName>
    <definedName name="REP_instrumenttype">'[1]Summary report'!$D$3</definedName>
    <definedName name="REP_periodfrom">'[1]Summary report'!$J$4</definedName>
    <definedName name="REP_periodto">'[1]Summary report'!$Q$4</definedName>
    <definedName name="REP_projecttitle">'[1]Summary report'!$I$3</definedName>
    <definedName name="REP_requestedContributionAmount">#REF!</definedName>
    <definedName name="REP_theorContributionAmount">'[1]Summary report'!$N$278</definedName>
    <definedName name="requestedContributionAmount">[1]Template!$L$53</definedName>
    <definedName name="responsiblePersonDate">[1]Template!$D$94</definedName>
    <definedName name="subContracting1">[1]Template!$B$35</definedName>
    <definedName name="subContracting2">[1]Template!$E$35</definedName>
    <definedName name="subContracting3">[1]Template!$H$35</definedName>
    <definedName name="subContracting4">[1]Template!$K$35</definedName>
    <definedName name="thirdPartyFlag">[1]Template!$L$17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3" i="8" l="1"/>
  <c r="C42" i="8"/>
  <c r="C41" i="8"/>
  <c r="C40" i="8"/>
  <c r="B43" i="8"/>
  <c r="B42" i="8"/>
  <c r="B41" i="8"/>
  <c r="B40" i="8"/>
  <c r="C39" i="8"/>
  <c r="B39" i="8"/>
  <c r="F34" i="8"/>
  <c r="F33" i="8"/>
  <c r="F32" i="8"/>
  <c r="F31" i="8"/>
  <c r="E34" i="8"/>
  <c r="E33" i="8"/>
  <c r="E32" i="8"/>
  <c r="E31" i="8"/>
  <c r="D34" i="8"/>
  <c r="D33" i="8"/>
  <c r="D32" i="8"/>
  <c r="D31" i="8"/>
  <c r="C34" i="8"/>
  <c r="C33" i="8"/>
  <c r="C32" i="8"/>
  <c r="C31" i="8"/>
  <c r="B34" i="8"/>
  <c r="B33" i="8"/>
  <c r="B32" i="8"/>
  <c r="B31" i="8"/>
  <c r="J51" i="7"/>
  <c r="J54" i="7"/>
  <c r="J52" i="7"/>
  <c r="J55" i="7"/>
  <c r="J42" i="7"/>
  <c r="J43" i="7"/>
  <c r="J151" i="7"/>
  <c r="J145" i="7"/>
  <c r="J146" i="7"/>
  <c r="J134" i="7"/>
  <c r="J141" i="7"/>
  <c r="J135" i="7"/>
  <c r="J4" i="7"/>
  <c r="J7" i="7"/>
  <c r="J69" i="7"/>
  <c r="J70" i="7"/>
  <c r="J96" i="7"/>
  <c r="J97" i="7"/>
  <c r="J98" i="7"/>
  <c r="J136" i="7"/>
  <c r="J116" i="7"/>
  <c r="J142" i="7"/>
  <c r="J85" i="7"/>
  <c r="J86" i="7"/>
  <c r="J6" i="7"/>
  <c r="J9" i="7"/>
  <c r="J77" i="7"/>
  <c r="J78" i="7"/>
  <c r="J87" i="7"/>
  <c r="J95" i="7"/>
  <c r="J94" i="7"/>
  <c r="J93" i="7"/>
  <c r="J88" i="7"/>
  <c r="J117" i="7"/>
  <c r="J118" i="7"/>
  <c r="J119" i="7"/>
  <c r="J17" i="7"/>
  <c r="J19" i="7"/>
  <c r="J79" i="7"/>
  <c r="J80" i="7"/>
  <c r="J89" i="7"/>
  <c r="J90" i="7"/>
  <c r="J139" i="7"/>
  <c r="J150" i="7"/>
  <c r="J140" i="7"/>
  <c r="J5" i="7"/>
  <c r="J8" i="7"/>
  <c r="J65" i="7"/>
  <c r="J66" i="7"/>
  <c r="J21" i="7"/>
  <c r="J24" i="7"/>
  <c r="J50" i="7"/>
  <c r="J53" i="7"/>
  <c r="J120" i="7"/>
  <c r="J152" i="7"/>
  <c r="J121" i="7"/>
  <c r="J36" i="7"/>
  <c r="J37" i="7"/>
  <c r="J63" i="7"/>
  <c r="J64" i="7"/>
  <c r="J91" i="7"/>
  <c r="J92" i="7"/>
  <c r="J137" i="7"/>
  <c r="J148" i="7"/>
  <c r="J122" i="7"/>
  <c r="J138" i="7"/>
  <c r="J133" i="7"/>
  <c r="J123" i="7"/>
  <c r="J16" i="7"/>
  <c r="J18" i="7"/>
  <c r="J44" i="7"/>
  <c r="J45" i="7"/>
  <c r="J124" i="7"/>
  <c r="J125" i="7"/>
  <c r="J126" i="7"/>
  <c r="J22" i="7"/>
  <c r="J25" i="7"/>
  <c r="J20" i="7"/>
  <c r="J23" i="7"/>
  <c r="J12" i="7"/>
  <c r="J13" i="7"/>
  <c r="J147" i="7"/>
  <c r="J144" i="7"/>
  <c r="J154" i="7"/>
  <c r="J58" i="7"/>
  <c r="J59" i="7"/>
  <c r="J60" i="7"/>
  <c r="J61" i="7"/>
  <c r="J10" i="7"/>
  <c r="J11" i="7"/>
  <c r="J67" i="7"/>
  <c r="J68" i="7"/>
  <c r="J81" i="7"/>
  <c r="J82" i="7"/>
  <c r="J56" i="7"/>
  <c r="J57" i="7"/>
  <c r="J71" i="7"/>
  <c r="J72" i="7"/>
  <c r="J99" i="7"/>
  <c r="J100" i="7"/>
  <c r="J62" i="7"/>
  <c r="J30" i="7"/>
  <c r="J31" i="7"/>
  <c r="J32" i="7"/>
  <c r="J33" i="7"/>
  <c r="J127" i="7"/>
  <c r="J128" i="7"/>
  <c r="J129" i="7"/>
  <c r="J38" i="7"/>
  <c r="J40" i="7"/>
  <c r="J39" i="7"/>
  <c r="J41" i="7"/>
  <c r="J34" i="7"/>
  <c r="J35" i="7"/>
  <c r="J149" i="7"/>
  <c r="J153" i="7"/>
  <c r="J143" i="7"/>
  <c r="J14" i="7"/>
  <c r="J15" i="7"/>
  <c r="J111" i="7"/>
  <c r="J107" i="7"/>
  <c r="J101" i="7"/>
  <c r="J102" i="7"/>
  <c r="J109" i="7"/>
  <c r="J112" i="7"/>
  <c r="J105" i="7"/>
  <c r="J108" i="7"/>
  <c r="J28" i="7"/>
  <c r="J29" i="7"/>
  <c r="J26" i="7"/>
  <c r="J27" i="7"/>
  <c r="J75" i="7"/>
  <c r="J76" i="7"/>
  <c r="J46" i="7"/>
  <c r="J47" i="7"/>
  <c r="J48" i="7"/>
  <c r="J49" i="7"/>
  <c r="J130" i="7"/>
  <c r="J131" i="7"/>
  <c r="J132" i="7"/>
  <c r="J115" i="7"/>
  <c r="J113" i="7"/>
  <c r="J114" i="7"/>
  <c r="J73" i="7"/>
  <c r="J74" i="7"/>
  <c r="J103" i="7"/>
  <c r="J104" i="7"/>
  <c r="J106" i="7"/>
  <c r="J110" i="7"/>
  <c r="J2" i="7"/>
  <c r="J3" i="7"/>
  <c r="J83" i="7"/>
  <c r="J84" i="7"/>
  <c r="J155" i="7"/>
  <c r="I51" i="7"/>
  <c r="I54" i="7"/>
  <c r="I52" i="7"/>
  <c r="I55" i="7"/>
  <c r="I42" i="7"/>
  <c r="I43" i="7"/>
  <c r="I151" i="7"/>
  <c r="I145" i="7"/>
  <c r="I146" i="7"/>
  <c r="I134" i="7"/>
  <c r="I141" i="7"/>
  <c r="I135" i="7"/>
  <c r="I4" i="7"/>
  <c r="I7" i="7"/>
  <c r="I69" i="7"/>
  <c r="I70" i="7"/>
  <c r="I96" i="7"/>
  <c r="I97" i="7"/>
  <c r="I98" i="7"/>
  <c r="I136" i="7"/>
  <c r="I116" i="7"/>
  <c r="I142" i="7"/>
  <c r="I85" i="7"/>
  <c r="I86" i="7"/>
  <c r="I6" i="7"/>
  <c r="I9" i="7"/>
  <c r="I77" i="7"/>
  <c r="I78" i="7"/>
  <c r="I87" i="7"/>
  <c r="I95" i="7"/>
  <c r="I94" i="7"/>
  <c r="I93" i="7"/>
  <c r="I88" i="7"/>
  <c r="I117" i="7"/>
  <c r="I118" i="7"/>
  <c r="I119" i="7"/>
  <c r="I17" i="7"/>
  <c r="I19" i="7"/>
  <c r="I79" i="7"/>
  <c r="I80" i="7"/>
  <c r="I89" i="7"/>
  <c r="I90" i="7"/>
  <c r="I139" i="7"/>
  <c r="I150" i="7"/>
  <c r="I140" i="7"/>
  <c r="I5" i="7"/>
  <c r="I8" i="7"/>
  <c r="I65" i="7"/>
  <c r="I66" i="7"/>
  <c r="I21" i="7"/>
  <c r="I24" i="7"/>
  <c r="I50" i="7"/>
  <c r="I53" i="7"/>
  <c r="I120" i="7"/>
  <c r="I152" i="7"/>
  <c r="I121" i="7"/>
  <c r="I36" i="7"/>
  <c r="I37" i="7"/>
  <c r="I63" i="7"/>
  <c r="I64" i="7"/>
  <c r="I91" i="7"/>
  <c r="I92" i="7"/>
  <c r="I137" i="7"/>
  <c r="I148" i="7"/>
  <c r="I122" i="7"/>
  <c r="I138" i="7"/>
  <c r="I133" i="7"/>
  <c r="I123" i="7"/>
  <c r="I16" i="7"/>
  <c r="I18" i="7"/>
  <c r="I44" i="7"/>
  <c r="I45" i="7"/>
  <c r="I124" i="7"/>
  <c r="I125" i="7"/>
  <c r="I126" i="7"/>
  <c r="I22" i="7"/>
  <c r="I25" i="7"/>
  <c r="I20" i="7"/>
  <c r="I23" i="7"/>
  <c r="I12" i="7"/>
  <c r="I13" i="7"/>
  <c r="I147" i="7"/>
  <c r="I144" i="7"/>
  <c r="I154" i="7"/>
  <c r="I58" i="7"/>
  <c r="I59" i="7"/>
  <c r="I60" i="7"/>
  <c r="I61" i="7"/>
  <c r="I10" i="7"/>
  <c r="I11" i="7"/>
  <c r="I67" i="7"/>
  <c r="I68" i="7"/>
  <c r="I81" i="7"/>
  <c r="I82" i="7"/>
  <c r="I56" i="7"/>
  <c r="I57" i="7"/>
  <c r="I71" i="7"/>
  <c r="I72" i="7"/>
  <c r="I99" i="7"/>
  <c r="I100" i="7"/>
  <c r="I62" i="7"/>
  <c r="I30" i="7"/>
  <c r="I31" i="7"/>
  <c r="I32" i="7"/>
  <c r="I33" i="7"/>
  <c r="I127" i="7"/>
  <c r="I128" i="7"/>
  <c r="I129" i="7"/>
  <c r="I38" i="7"/>
  <c r="I40" i="7"/>
  <c r="I39" i="7"/>
  <c r="I41" i="7"/>
  <c r="I34" i="7"/>
  <c r="I35" i="7"/>
  <c r="I149" i="7"/>
  <c r="I153" i="7"/>
  <c r="I143" i="7"/>
  <c r="I14" i="7"/>
  <c r="I15" i="7"/>
  <c r="I111" i="7"/>
  <c r="I107" i="7"/>
  <c r="I101" i="7"/>
  <c r="I102" i="7"/>
  <c r="I109" i="7"/>
  <c r="I112" i="7"/>
  <c r="I105" i="7"/>
  <c r="I108" i="7"/>
  <c r="I28" i="7"/>
  <c r="I29" i="7"/>
  <c r="I26" i="7"/>
  <c r="I27" i="7"/>
  <c r="I75" i="7"/>
  <c r="I76" i="7"/>
  <c r="I46" i="7"/>
  <c r="I47" i="7"/>
  <c r="I48" i="7"/>
  <c r="I49" i="7"/>
  <c r="I130" i="7"/>
  <c r="I131" i="7"/>
  <c r="I132" i="7"/>
  <c r="I115" i="7"/>
  <c r="I113" i="7"/>
  <c r="I114" i="7"/>
  <c r="I73" i="7"/>
  <c r="I74" i="7"/>
  <c r="I103" i="7"/>
  <c r="I104" i="7"/>
  <c r="I106" i="7"/>
  <c r="I110" i="7"/>
  <c r="I2" i="7"/>
  <c r="I3" i="7"/>
  <c r="I83" i="7"/>
  <c r="I84" i="7"/>
  <c r="I155" i="7"/>
  <c r="B35" i="8"/>
  <c r="AI2" i="5"/>
  <c r="AC2" i="5"/>
  <c r="AD2" i="5"/>
  <c r="AE2" i="5"/>
  <c r="AF2" i="5"/>
  <c r="AG2" i="5"/>
  <c r="AH2" i="5"/>
  <c r="X104" i="5"/>
  <c r="X103" i="5"/>
  <c r="C44" i="8"/>
  <c r="B44" i="8"/>
  <c r="AB5" i="5"/>
  <c r="AB72" i="5"/>
  <c r="J156" i="7"/>
  <c r="AB16" i="5"/>
  <c r="AD16" i="5"/>
  <c r="AB17" i="5"/>
  <c r="AB36" i="5"/>
  <c r="AB62" i="5"/>
  <c r="AC62" i="5"/>
  <c r="AC20" i="5"/>
  <c r="AC28" i="5"/>
  <c r="AC29" i="5"/>
  <c r="AC37" i="5"/>
  <c r="AC13" i="5"/>
  <c r="AC3" i="5"/>
  <c r="AC4" i="5"/>
  <c r="AC5" i="5"/>
  <c r="AC6" i="5"/>
  <c r="AC7" i="5"/>
  <c r="AC8" i="5"/>
  <c r="AC9" i="5"/>
  <c r="AC10" i="5"/>
  <c r="AC11" i="5"/>
  <c r="AC15" i="5"/>
  <c r="AC16" i="5"/>
  <c r="AC17" i="5"/>
  <c r="AC25" i="5"/>
  <c r="AC26" i="5"/>
  <c r="AC30" i="5"/>
  <c r="AC33" i="5"/>
  <c r="AC34" i="5"/>
  <c r="AC35" i="5"/>
  <c r="AC36" i="5"/>
  <c r="AC39" i="5"/>
  <c r="AC40" i="5"/>
  <c r="AC41" i="5"/>
  <c r="AC42" i="5"/>
  <c r="AC51" i="5"/>
  <c r="AC52" i="5"/>
  <c r="AC53" i="5"/>
  <c r="AC54" i="5"/>
  <c r="AC55" i="5"/>
  <c r="AC23" i="5"/>
  <c r="AC24" i="5"/>
  <c r="AC31" i="5"/>
  <c r="AC56" i="5"/>
  <c r="AC57" i="5"/>
  <c r="AC58" i="5"/>
  <c r="AC59" i="5"/>
  <c r="AC32" i="5"/>
  <c r="AC14" i="5"/>
  <c r="AC38" i="5"/>
  <c r="AC44" i="5"/>
  <c r="AC45" i="5"/>
  <c r="AC19" i="5"/>
  <c r="AC46" i="5"/>
  <c r="AC47" i="5"/>
  <c r="AC21" i="5"/>
  <c r="AC22" i="5"/>
  <c r="AC12" i="5"/>
  <c r="AC18" i="5"/>
  <c r="AC27" i="5"/>
  <c r="AC48" i="5"/>
  <c r="AC49" i="5"/>
  <c r="AC50" i="5"/>
  <c r="AC60" i="5"/>
  <c r="AC61" i="5"/>
  <c r="AC65" i="5"/>
  <c r="AC43" i="5"/>
  <c r="AC64" i="5"/>
  <c r="AC66" i="5"/>
  <c r="AC63" i="5"/>
  <c r="AC67" i="5"/>
  <c r="AC68" i="5"/>
  <c r="AC69" i="5"/>
  <c r="AC70" i="5"/>
  <c r="AC71" i="5"/>
  <c r="Z86" i="5"/>
  <c r="AB19" i="5"/>
  <c r="B12" i="8"/>
  <c r="X5" i="5"/>
  <c r="X16" i="5"/>
  <c r="X36" i="5"/>
  <c r="X62" i="5"/>
  <c r="AD51" i="5"/>
  <c r="AE51" i="5"/>
  <c r="AF51" i="5"/>
  <c r="AG51" i="5"/>
  <c r="AH51" i="5"/>
  <c r="AD52" i="5"/>
  <c r="AE52" i="5"/>
  <c r="AD53" i="5"/>
  <c r="AE53" i="5"/>
  <c r="AD3" i="5"/>
  <c r="AD13" i="5"/>
  <c r="AD4" i="5"/>
  <c r="AD36" i="5"/>
  <c r="AE36" i="5"/>
  <c r="AD6" i="5"/>
  <c r="AE6" i="5"/>
  <c r="AD39" i="5"/>
  <c r="AD40" i="5"/>
  <c r="AE40" i="5"/>
  <c r="AD41" i="5"/>
  <c r="AE41" i="5"/>
  <c r="AD42" i="5"/>
  <c r="AE42" i="5"/>
  <c r="AD15" i="5"/>
  <c r="AE15" i="5"/>
  <c r="AD33" i="5"/>
  <c r="AD34" i="5"/>
  <c r="AE34" i="5"/>
  <c r="AE16" i="5"/>
  <c r="AF16" i="5"/>
  <c r="AG16" i="5"/>
  <c r="AE7" i="5"/>
  <c r="AD30" i="5"/>
  <c r="AE30" i="5"/>
  <c r="AE8" i="5"/>
  <c r="AD17" i="5"/>
  <c r="AD54" i="5"/>
  <c r="AD55" i="5"/>
  <c r="AE55" i="5"/>
  <c r="AD35" i="5"/>
  <c r="AE35" i="5"/>
  <c r="AE9" i="5"/>
  <c r="AD25" i="5"/>
  <c r="AE25" i="5"/>
  <c r="AD10" i="5"/>
  <c r="AE10" i="5"/>
  <c r="AD11" i="5"/>
  <c r="AD26" i="5"/>
  <c r="AE26" i="5"/>
  <c r="AD56" i="5"/>
  <c r="AD57" i="5"/>
  <c r="AE57" i="5"/>
  <c r="AD23" i="5"/>
  <c r="AD31" i="5"/>
  <c r="AD24" i="5"/>
  <c r="AE24" i="5"/>
  <c r="AF24" i="5"/>
  <c r="AG24" i="5"/>
  <c r="AH24" i="5"/>
  <c r="AD58" i="5"/>
  <c r="AE58" i="5"/>
  <c r="AD59" i="5"/>
  <c r="AE32" i="5"/>
  <c r="AE14" i="5"/>
  <c r="AD20" i="5"/>
  <c r="AD28" i="5"/>
  <c r="AE38" i="5"/>
  <c r="AD62" i="5"/>
  <c r="AD37" i="5"/>
  <c r="AE37" i="5"/>
  <c r="AD29" i="5"/>
  <c r="AE29" i="5"/>
  <c r="AD44" i="5"/>
  <c r="AE44" i="5"/>
  <c r="AD45" i="5"/>
  <c r="AE45" i="5"/>
  <c r="AE46" i="5"/>
  <c r="AE47" i="5"/>
  <c r="AD22" i="5"/>
  <c r="AD21" i="5"/>
  <c r="AE21" i="5"/>
  <c r="AD18" i="5"/>
  <c r="AE18" i="5"/>
  <c r="AE49" i="5"/>
  <c r="AE50" i="5"/>
  <c r="AE12" i="5"/>
  <c r="AE27" i="5"/>
  <c r="AE48" i="5"/>
  <c r="AD60" i="5"/>
  <c r="AE60" i="5"/>
  <c r="AD61" i="5"/>
  <c r="AE61" i="5"/>
  <c r="AE65" i="5"/>
  <c r="AE64" i="5"/>
  <c r="AD43" i="5"/>
  <c r="AE43" i="5"/>
  <c r="D23" i="8"/>
  <c r="AD66" i="5"/>
  <c r="AE66" i="5"/>
  <c r="F23" i="8"/>
  <c r="AD69" i="5"/>
  <c r="AD70" i="5"/>
  <c r="AE70" i="5"/>
  <c r="AD67" i="5"/>
  <c r="AD63" i="5"/>
  <c r="AE63" i="5"/>
  <c r="AD71" i="5"/>
  <c r="AE71" i="5"/>
  <c r="AD68" i="5"/>
  <c r="AD7" i="5"/>
  <c r="AD8" i="5"/>
  <c r="AF8" i="5"/>
  <c r="AD9" i="5"/>
  <c r="AF13" i="5"/>
  <c r="E24" i="8"/>
  <c r="AF53" i="5"/>
  <c r="AF4" i="5"/>
  <c r="AF5" i="5"/>
  <c r="AF36" i="5"/>
  <c r="AF6" i="5"/>
  <c r="AF39" i="5"/>
  <c r="AF40" i="5"/>
  <c r="AF15" i="5"/>
  <c r="AF33" i="5"/>
  <c r="AF34" i="5"/>
  <c r="AF7" i="5"/>
  <c r="AF30" i="5"/>
  <c r="AF17" i="5"/>
  <c r="AF54" i="5"/>
  <c r="AF35" i="5"/>
  <c r="AF25" i="5"/>
  <c r="AF11" i="5"/>
  <c r="AF26" i="5"/>
  <c r="AF56" i="5"/>
  <c r="AF57" i="5"/>
  <c r="AF23" i="5"/>
  <c r="AF31" i="5"/>
  <c r="AF58" i="5"/>
  <c r="AF59" i="5"/>
  <c r="AD32" i="5"/>
  <c r="AF32" i="5"/>
  <c r="E21" i="8"/>
  <c r="AD14" i="5"/>
  <c r="AF14" i="5"/>
  <c r="AF20" i="5"/>
  <c r="AF28" i="5"/>
  <c r="AD38" i="5"/>
  <c r="AF38" i="5"/>
  <c r="AF62" i="5"/>
  <c r="AF37" i="5"/>
  <c r="AF29" i="5"/>
  <c r="AF44" i="5"/>
  <c r="AF45" i="5"/>
  <c r="AD46" i="5"/>
  <c r="AF46" i="5"/>
  <c r="AG46" i="5"/>
  <c r="AD47" i="5"/>
  <c r="AF47" i="5"/>
  <c r="AF19" i="5"/>
  <c r="AF22" i="5"/>
  <c r="AF21" i="5"/>
  <c r="AF18" i="5"/>
  <c r="AD49" i="5"/>
  <c r="AF49" i="5"/>
  <c r="AD50" i="5"/>
  <c r="AD12" i="5"/>
  <c r="AF12" i="5"/>
  <c r="AD27" i="5"/>
  <c r="AF27" i="5"/>
  <c r="AD48" i="5"/>
  <c r="AF48" i="5"/>
  <c r="AF60" i="5"/>
  <c r="AF61" i="5"/>
  <c r="AD65" i="5"/>
  <c r="AF65" i="5"/>
  <c r="AA92" i="5"/>
  <c r="AD64" i="5"/>
  <c r="AF64" i="5"/>
  <c r="AF43" i="5"/>
  <c r="AF66" i="5"/>
  <c r="AF69" i="5"/>
  <c r="AF70" i="5"/>
  <c r="AF67" i="5"/>
  <c r="AF63" i="5"/>
  <c r="AF71" i="5"/>
  <c r="AF68" i="5"/>
  <c r="B26" i="8"/>
  <c r="C25" i="8"/>
  <c r="B25" i="8"/>
  <c r="C24" i="8"/>
  <c r="B24" i="8"/>
  <c r="E23" i="8"/>
  <c r="C23" i="8"/>
  <c r="B23" i="8"/>
  <c r="D22" i="8"/>
  <c r="B22" i="8"/>
  <c r="F21" i="8"/>
  <c r="C21" i="8"/>
  <c r="B21" i="8"/>
  <c r="D19" i="8"/>
  <c r="E20" i="8"/>
  <c r="C20" i="8"/>
  <c r="B20" i="8"/>
  <c r="F19" i="8"/>
  <c r="E19" i="8"/>
  <c r="C19" i="8"/>
  <c r="B19" i="8"/>
  <c r="E18" i="8"/>
  <c r="D18" i="8"/>
  <c r="C18" i="8"/>
  <c r="B18" i="8"/>
  <c r="F17" i="8"/>
  <c r="E17" i="8"/>
  <c r="D17" i="8"/>
  <c r="C17" i="8"/>
  <c r="B17" i="8"/>
  <c r="B13" i="8"/>
  <c r="B14" i="8"/>
  <c r="B15" i="8"/>
  <c r="B16" i="8"/>
  <c r="B27" i="8"/>
  <c r="C16" i="8"/>
  <c r="D16" i="8"/>
  <c r="E16" i="8"/>
  <c r="F16" i="8"/>
  <c r="D15" i="8"/>
  <c r="C15" i="8"/>
  <c r="E14" i="8"/>
  <c r="D14" i="8"/>
  <c r="C14" i="8"/>
  <c r="C13" i="8"/>
  <c r="D12" i="8"/>
  <c r="C12" i="8"/>
  <c r="X88" i="5"/>
  <c r="X85" i="5"/>
  <c r="C7" i="8"/>
  <c r="C6" i="8"/>
  <c r="B6" i="8"/>
  <c r="C5" i="8"/>
  <c r="C3" i="8"/>
  <c r="C4" i="8"/>
  <c r="C8" i="8"/>
  <c r="B5" i="8"/>
  <c r="B4" i="8"/>
  <c r="B3" i="8"/>
  <c r="X76" i="5"/>
  <c r="U25" i="4"/>
  <c r="U26" i="4"/>
  <c r="R85" i="4"/>
  <c r="U27" i="4"/>
  <c r="X27" i="4"/>
  <c r="U35" i="4"/>
  <c r="U67" i="4"/>
  <c r="R86" i="4"/>
  <c r="U22" i="4"/>
  <c r="U5" i="4"/>
  <c r="U44" i="4"/>
  <c r="U28" i="4"/>
  <c r="U29" i="4"/>
  <c r="X29" i="4"/>
  <c r="U30" i="4"/>
  <c r="U9" i="4"/>
  <c r="U10" i="4"/>
  <c r="U42" i="4"/>
  <c r="U51" i="4"/>
  <c r="U61" i="4"/>
  <c r="X61" i="4"/>
  <c r="U11" i="4"/>
  <c r="U62" i="4"/>
  <c r="U63" i="4"/>
  <c r="R101" i="4"/>
  <c r="U41" i="4"/>
  <c r="R97" i="4"/>
  <c r="U21" i="4"/>
  <c r="U56" i="4"/>
  <c r="R112" i="4"/>
  <c r="U23" i="4"/>
  <c r="U7" i="4"/>
  <c r="U53" i="4"/>
  <c r="U12" i="4"/>
  <c r="R95" i="4"/>
  <c r="U6" i="4"/>
  <c r="U43" i="4"/>
  <c r="U50" i="4"/>
  <c r="U70" i="4"/>
  <c r="U18" i="4"/>
  <c r="U64" i="4"/>
  <c r="U65" i="4"/>
  <c r="U47" i="4"/>
  <c r="U48" i="4"/>
  <c r="U57" i="4"/>
  <c r="U69" i="4"/>
  <c r="U24" i="4"/>
  <c r="U38" i="4"/>
  <c r="U39" i="4"/>
  <c r="U58" i="4"/>
  <c r="U46" i="4"/>
  <c r="U14" i="4"/>
  <c r="U16" i="4"/>
  <c r="U17" i="4"/>
  <c r="W17" i="4"/>
  <c r="Y17" i="4"/>
  <c r="Z17" i="4"/>
  <c r="U15" i="4"/>
  <c r="U40" i="4"/>
  <c r="U2" i="4"/>
  <c r="U59" i="4"/>
  <c r="U3" i="4"/>
  <c r="U60" i="4"/>
  <c r="U4" i="4"/>
  <c r="U34" i="4"/>
  <c r="R114" i="4"/>
  <c r="T114" i="4"/>
  <c r="U66" i="4"/>
  <c r="U19" i="4"/>
  <c r="U54" i="4"/>
  <c r="U31" i="4"/>
  <c r="X31" i="4"/>
  <c r="U33" i="4"/>
  <c r="U32" i="4"/>
  <c r="U68" i="4"/>
  <c r="R89" i="4"/>
  <c r="U45" i="4"/>
  <c r="R79" i="4"/>
  <c r="U49" i="4"/>
  <c r="U20" i="4"/>
  <c r="R92" i="4"/>
  <c r="R96" i="4"/>
  <c r="R98" i="4"/>
  <c r="R99" i="4"/>
  <c r="R104" i="4"/>
  <c r="R106" i="4"/>
  <c r="R108" i="4"/>
  <c r="R110" i="4"/>
  <c r="R115" i="4"/>
  <c r="V25" i="4"/>
  <c r="V26" i="4"/>
  <c r="X26" i="4"/>
  <c r="X25" i="4"/>
  <c r="Y25" i="4"/>
  <c r="V27" i="4"/>
  <c r="V35" i="4"/>
  <c r="V67" i="4"/>
  <c r="X8" i="4"/>
  <c r="V10" i="4"/>
  <c r="X10" i="4"/>
  <c r="V42" i="4"/>
  <c r="X42" i="4"/>
  <c r="V51" i="4"/>
  <c r="X51" i="4"/>
  <c r="V61" i="4"/>
  <c r="X11" i="4"/>
  <c r="X63" i="4"/>
  <c r="V22" i="4"/>
  <c r="X22" i="4"/>
  <c r="X5" i="4"/>
  <c r="X41" i="4"/>
  <c r="X36" i="4"/>
  <c r="X21" i="4"/>
  <c r="X56" i="4"/>
  <c r="V23" i="4"/>
  <c r="X37" i="4"/>
  <c r="X52" i="4"/>
  <c r="X7" i="4"/>
  <c r="X53" i="4"/>
  <c r="X12" i="4"/>
  <c r="X6" i="4"/>
  <c r="X43" i="4"/>
  <c r="X50" i="4"/>
  <c r="X70" i="4"/>
  <c r="X18" i="4"/>
  <c r="X64" i="4"/>
  <c r="X65" i="4"/>
  <c r="X47" i="4"/>
  <c r="X48" i="4"/>
  <c r="X57" i="4"/>
  <c r="X69" i="4"/>
  <c r="V24" i="4"/>
  <c r="X38" i="4"/>
  <c r="X39" i="4"/>
  <c r="X58" i="4"/>
  <c r="X13" i="4"/>
  <c r="X46" i="4"/>
  <c r="X14" i="4"/>
  <c r="X15" i="4"/>
  <c r="X40" i="4"/>
  <c r="X2" i="4"/>
  <c r="X59" i="4"/>
  <c r="X4" i="4"/>
  <c r="X34" i="4"/>
  <c r="X66" i="4"/>
  <c r="X35" i="4"/>
  <c r="X67" i="4"/>
  <c r="X19" i="4"/>
  <c r="X54" i="4"/>
  <c r="X44" i="4"/>
  <c r="V28" i="4"/>
  <c r="V29" i="4"/>
  <c r="V30" i="4"/>
  <c r="X30" i="4"/>
  <c r="V31" i="4"/>
  <c r="V33" i="4"/>
  <c r="X33" i="4"/>
  <c r="V32" i="4"/>
  <c r="X68" i="4"/>
  <c r="X45" i="4"/>
  <c r="X49" i="4"/>
  <c r="X20" i="4"/>
  <c r="X55" i="4"/>
  <c r="V5" i="4"/>
  <c r="S87" i="4"/>
  <c r="V44" i="4"/>
  <c r="V68" i="4"/>
  <c r="V20" i="4"/>
  <c r="V7" i="4"/>
  <c r="V53" i="4"/>
  <c r="V12" i="4"/>
  <c r="V40" i="4"/>
  <c r="S96" i="4"/>
  <c r="V41" i="4"/>
  <c r="S97" i="4"/>
  <c r="V38" i="4"/>
  <c r="S98" i="4"/>
  <c r="V39" i="4"/>
  <c r="V58" i="4"/>
  <c r="V14" i="4"/>
  <c r="V16" i="4"/>
  <c r="V17" i="4"/>
  <c r="V15" i="4"/>
  <c r="V8" i="4"/>
  <c r="S100" i="4"/>
  <c r="V9" i="4"/>
  <c r="V11" i="4"/>
  <c r="V62" i="4"/>
  <c r="S101" i="4"/>
  <c r="V63" i="4"/>
  <c r="V2" i="4"/>
  <c r="S103" i="4"/>
  <c r="V59" i="4"/>
  <c r="V3" i="4"/>
  <c r="V60" i="4"/>
  <c r="V21" i="4"/>
  <c r="V56" i="4"/>
  <c r="V6" i="4"/>
  <c r="V43" i="4"/>
  <c r="W43" i="4"/>
  <c r="V50" i="4"/>
  <c r="V70" i="4"/>
  <c r="V18" i="4"/>
  <c r="W18" i="4"/>
  <c r="V64" i="4"/>
  <c r="S106" i="4"/>
  <c r="T106" i="4"/>
  <c r="V65" i="4"/>
  <c r="V47" i="4"/>
  <c r="V48" i="4"/>
  <c r="V57" i="4"/>
  <c r="V69" i="4"/>
  <c r="V46" i="4"/>
  <c r="V4" i="4"/>
  <c r="V34" i="4"/>
  <c r="S114" i="4"/>
  <c r="V66" i="4"/>
  <c r="V19" i="4"/>
  <c r="V54" i="4"/>
  <c r="V45" i="4"/>
  <c r="S110" i="4"/>
  <c r="V49" i="4"/>
  <c r="S104" i="4"/>
  <c r="S105" i="4"/>
  <c r="S109" i="4"/>
  <c r="S115" i="4"/>
  <c r="Q85" i="4"/>
  <c r="Q86" i="4"/>
  <c r="Q87" i="4"/>
  <c r="Q88" i="4"/>
  <c r="Q89" i="4"/>
  <c r="Q90" i="4"/>
  <c r="Q91" i="4"/>
  <c r="Q92" i="4"/>
  <c r="Q95" i="4"/>
  <c r="Q96" i="4"/>
  <c r="Q97" i="4"/>
  <c r="Q98" i="4"/>
  <c r="T98" i="4"/>
  <c r="Q99" i="4"/>
  <c r="Q100" i="4"/>
  <c r="Q101" i="4"/>
  <c r="T101" i="4"/>
  <c r="Q103" i="4"/>
  <c r="Q104" i="4"/>
  <c r="T104" i="4"/>
  <c r="Q105" i="4"/>
  <c r="Q106" i="4"/>
  <c r="Q108" i="4"/>
  <c r="Q109" i="4"/>
  <c r="Q110" i="4"/>
  <c r="T110" i="4"/>
  <c r="Q111" i="4"/>
  <c r="Q112" i="4"/>
  <c r="Q114" i="4"/>
  <c r="Q115" i="4"/>
  <c r="Y79" i="5"/>
  <c r="Y98" i="5"/>
  <c r="X98" i="5"/>
  <c r="Z98" i="5"/>
  <c r="Y94" i="5"/>
  <c r="Y99" i="5"/>
  <c r="AB89" i="5"/>
  <c r="AB90" i="5"/>
  <c r="AB92" i="5"/>
  <c r="AB94" i="5"/>
  <c r="AB96" i="5"/>
  <c r="AA97" i="5"/>
  <c r="Y97" i="5"/>
  <c r="X97" i="5"/>
  <c r="AA96" i="5"/>
  <c r="Z96" i="5"/>
  <c r="Y96" i="5"/>
  <c r="X96" i="5"/>
  <c r="Z95" i="5"/>
  <c r="Y95" i="5"/>
  <c r="X95" i="5"/>
  <c r="Z94" i="5"/>
  <c r="X94" i="5"/>
  <c r="AA93" i="5"/>
  <c r="Y93" i="5"/>
  <c r="X93" i="5"/>
  <c r="X92" i="5"/>
  <c r="Z92" i="5"/>
  <c r="Y92" i="5"/>
  <c r="AA91" i="5"/>
  <c r="Z91" i="5"/>
  <c r="Y91" i="5"/>
  <c r="X91" i="5"/>
  <c r="AA90" i="5"/>
  <c r="Z90" i="5"/>
  <c r="Y90" i="5"/>
  <c r="X90" i="5"/>
  <c r="AA89" i="5"/>
  <c r="Z89" i="5"/>
  <c r="Y89" i="5"/>
  <c r="Y88" i="5"/>
  <c r="Y85" i="5"/>
  <c r="Y86" i="5"/>
  <c r="Y87" i="5"/>
  <c r="Y100" i="5"/>
  <c r="X89" i="5"/>
  <c r="AA88" i="5"/>
  <c r="Z88" i="5"/>
  <c r="AA87" i="5"/>
  <c r="Z87" i="5"/>
  <c r="X87" i="5"/>
  <c r="AA86" i="5"/>
  <c r="X86" i="5"/>
  <c r="AA77" i="5"/>
  <c r="Z85" i="5"/>
  <c r="Y80" i="5"/>
  <c r="X79" i="5"/>
  <c r="Z78" i="5"/>
  <c r="Y78" i="5"/>
  <c r="X78" i="5"/>
  <c r="Z77" i="5"/>
  <c r="Y77" i="5"/>
  <c r="X77" i="5"/>
  <c r="Y76" i="5"/>
  <c r="X105" i="5"/>
  <c r="Y81" i="5"/>
  <c r="AG36" i="5"/>
  <c r="AH36" i="5"/>
  <c r="AG25" i="5"/>
  <c r="AG52" i="5"/>
  <c r="AG42" i="5"/>
  <c r="AH42" i="5"/>
  <c r="AG55" i="5"/>
  <c r="AG10" i="5"/>
  <c r="AG7" i="5"/>
  <c r="AH7" i="5"/>
  <c r="AG8" i="5"/>
  <c r="AG41" i="5"/>
  <c r="AG12" i="5"/>
  <c r="AG49" i="5"/>
  <c r="AG27" i="5"/>
  <c r="AG48" i="5"/>
  <c r="AH48" i="5"/>
  <c r="AG47" i="5"/>
  <c r="AG14" i="5"/>
  <c r="AG21" i="5"/>
  <c r="AG65" i="5"/>
  <c r="AG15" i="5"/>
  <c r="AH15" i="5"/>
  <c r="AG66" i="5"/>
  <c r="AG38" i="5"/>
  <c r="AH38" i="5"/>
  <c r="AG61" i="5"/>
  <c r="AH61" i="5"/>
  <c r="AG44" i="5"/>
  <c r="AG45" i="5"/>
  <c r="AH45" i="5"/>
  <c r="AG53" i="5"/>
  <c r="AG37" i="5"/>
  <c r="AG35" i="5"/>
  <c r="AG26" i="5"/>
  <c r="AH26" i="5"/>
  <c r="AG6" i="5"/>
  <c r="AG30" i="5"/>
  <c r="AG64" i="5"/>
  <c r="AG71" i="5"/>
  <c r="AG70" i="5"/>
  <c r="AH70" i="5"/>
  <c r="AG18" i="5"/>
  <c r="AG57" i="5"/>
  <c r="AG58" i="5"/>
  <c r="AH58" i="5"/>
  <c r="AA5" i="5"/>
  <c r="AA36" i="5"/>
  <c r="AA17" i="5"/>
  <c r="AA19" i="5"/>
  <c r="AA16" i="5"/>
  <c r="AA62" i="5"/>
  <c r="AA72" i="5"/>
  <c r="Z5" i="5"/>
  <c r="Z36" i="5"/>
  <c r="Z72" i="5"/>
  <c r="Z17" i="5"/>
  <c r="Z19" i="5"/>
  <c r="Z16" i="5"/>
  <c r="Z62" i="5"/>
  <c r="Y5" i="5"/>
  <c r="Y72" i="5"/>
  <c r="Y36" i="5"/>
  <c r="Y17" i="5"/>
  <c r="Y19" i="5"/>
  <c r="Y16" i="5"/>
  <c r="Y62" i="5"/>
  <c r="AI59" i="5"/>
  <c r="AI58" i="5"/>
  <c r="AI57" i="5"/>
  <c r="AH57" i="5"/>
  <c r="AI56" i="5"/>
  <c r="AI63" i="5"/>
  <c r="AI18" i="5"/>
  <c r="AH18" i="5"/>
  <c r="AI70" i="5"/>
  <c r="AI71" i="5"/>
  <c r="AH71" i="5"/>
  <c r="AI69" i="5"/>
  <c r="AI64" i="5"/>
  <c r="AH64" i="5"/>
  <c r="AI62" i="5"/>
  <c r="AH16" i="5"/>
  <c r="AI20" i="5"/>
  <c r="AI29" i="5"/>
  <c r="AI24" i="5"/>
  <c r="AI23" i="5"/>
  <c r="AI28" i="5"/>
  <c r="AI30" i="5"/>
  <c r="AH30" i="5"/>
  <c r="AI11" i="5"/>
  <c r="AI6" i="5"/>
  <c r="AH6" i="5"/>
  <c r="AI26" i="5"/>
  <c r="AI35" i="5"/>
  <c r="AH35" i="5"/>
  <c r="AI37" i="5"/>
  <c r="AH37" i="5"/>
  <c r="AI34" i="5"/>
  <c r="AI40" i="5"/>
  <c r="AI53" i="5"/>
  <c r="AH53" i="5"/>
  <c r="AI45" i="5"/>
  <c r="AI68" i="5"/>
  <c r="AI44" i="5"/>
  <c r="AH44" i="5"/>
  <c r="AI67" i="5"/>
  <c r="AI61" i="5"/>
  <c r="AI60" i="5"/>
  <c r="AI38" i="5"/>
  <c r="AI66" i="5"/>
  <c r="AH66" i="5"/>
  <c r="AI17" i="5"/>
  <c r="AI13" i="5"/>
  <c r="AI15" i="5"/>
  <c r="AI65" i="5"/>
  <c r="AH65" i="5"/>
  <c r="AI46" i="5"/>
  <c r="AH46" i="5"/>
  <c r="AI21" i="5"/>
  <c r="AH21" i="5"/>
  <c r="AI22" i="5"/>
  <c r="AI14" i="5"/>
  <c r="AH14" i="5"/>
  <c r="AI32" i="5"/>
  <c r="AI47" i="5"/>
  <c r="AH47" i="5"/>
  <c r="AI48" i="5"/>
  <c r="AI27" i="5"/>
  <c r="AH27" i="5"/>
  <c r="AI50" i="5"/>
  <c r="AI49" i="5"/>
  <c r="AH49" i="5"/>
  <c r="AI12" i="5"/>
  <c r="AH12" i="5"/>
  <c r="AI41" i="5"/>
  <c r="AH41" i="5"/>
  <c r="AI9" i="5"/>
  <c r="AI8" i="5"/>
  <c r="AH8" i="5"/>
  <c r="AI7" i="5"/>
  <c r="AI4" i="5"/>
  <c r="AI10" i="5"/>
  <c r="AH10" i="5"/>
  <c r="AI55" i="5"/>
  <c r="AH55" i="5"/>
  <c r="AI42" i="5"/>
  <c r="AI3" i="5"/>
  <c r="AI52" i="5"/>
  <c r="AH52" i="5"/>
  <c r="AI25" i="5"/>
  <c r="AH25" i="5"/>
  <c r="AI54" i="5"/>
  <c r="AI31" i="5"/>
  <c r="AI33" i="5"/>
  <c r="AI39" i="5"/>
  <c r="AI36" i="5"/>
  <c r="AI5" i="5"/>
  <c r="AI51" i="5"/>
  <c r="AI43" i="5"/>
  <c r="Q120" i="4"/>
  <c r="Q121" i="4"/>
  <c r="Q122" i="4"/>
  <c r="Q128" i="4"/>
  <c r="V123" i="4"/>
  <c r="W123" i="4"/>
  <c r="Y89" i="4"/>
  <c r="Y93" i="4"/>
  <c r="Q124" i="4"/>
  <c r="Y96" i="4"/>
  <c r="Y97" i="4"/>
  <c r="Q126" i="4"/>
  <c r="Q127" i="4"/>
  <c r="W89" i="4"/>
  <c r="W96" i="4"/>
  <c r="W97" i="4"/>
  <c r="Z95" i="4"/>
  <c r="X124" i="4"/>
  <c r="W94" i="4"/>
  <c r="T55" i="4"/>
  <c r="T52" i="4"/>
  <c r="Y94" i="4"/>
  <c r="S52" i="4"/>
  <c r="S55" i="4"/>
  <c r="R52" i="4"/>
  <c r="R55" i="4"/>
  <c r="Q55" i="4"/>
  <c r="Q52" i="4"/>
  <c r="AA94" i="4"/>
  <c r="AA93" i="4"/>
  <c r="Z94" i="4"/>
  <c r="X94" i="4"/>
  <c r="Z93" i="4"/>
  <c r="X93" i="4"/>
  <c r="P94" i="4"/>
  <c r="V94" i="4"/>
  <c r="P93" i="4"/>
  <c r="Y102" i="4"/>
  <c r="X100" i="4"/>
  <c r="Y101" i="4"/>
  <c r="X101" i="4"/>
  <c r="Y105" i="4"/>
  <c r="X105" i="4"/>
  <c r="X103" i="4"/>
  <c r="Y103" i="4"/>
  <c r="W22" i="4"/>
  <c r="W25" i="4"/>
  <c r="W26" i="4"/>
  <c r="Y26" i="4"/>
  <c r="Z26" i="4"/>
  <c r="W27" i="4"/>
  <c r="Y27" i="4"/>
  <c r="Z27" i="4"/>
  <c r="W5" i="4"/>
  <c r="W28" i="4"/>
  <c r="W29" i="4"/>
  <c r="Y29" i="4"/>
  <c r="W30" i="4"/>
  <c r="Y30" i="4"/>
  <c r="Z30" i="4"/>
  <c r="W31" i="4"/>
  <c r="W44" i="4"/>
  <c r="W2" i="4"/>
  <c r="Y2" i="4"/>
  <c r="Z2" i="4"/>
  <c r="W14" i="4"/>
  <c r="W38" i="4"/>
  <c r="W47" i="4"/>
  <c r="W64" i="4"/>
  <c r="W3" i="4"/>
  <c r="W9" i="4"/>
  <c r="W60" i="4"/>
  <c r="Y60" i="4"/>
  <c r="Z60" i="4"/>
  <c r="W62" i="4"/>
  <c r="W10" i="4"/>
  <c r="W42" i="4"/>
  <c r="W51" i="4"/>
  <c r="Y51" i="4"/>
  <c r="Z51" i="4"/>
  <c r="W61" i="4"/>
  <c r="W24" i="4"/>
  <c r="W35" i="4"/>
  <c r="W67" i="4"/>
  <c r="W23" i="4"/>
  <c r="T76" i="4"/>
  <c r="W32" i="4"/>
  <c r="W20" i="4"/>
  <c r="Y20" i="4"/>
  <c r="Z20" i="4"/>
  <c r="W41" i="4"/>
  <c r="W68" i="4"/>
  <c r="W34" i="4"/>
  <c r="Y34" i="4"/>
  <c r="Z34" i="4"/>
  <c r="W66" i="4"/>
  <c r="Y66" i="4"/>
  <c r="Z66" i="4"/>
  <c r="W19" i="4"/>
  <c r="W54" i="4"/>
  <c r="Y54" i="4"/>
  <c r="W69" i="4"/>
  <c r="Y69" i="4"/>
  <c r="Z69" i="4"/>
  <c r="W4" i="4"/>
  <c r="Y4" i="4"/>
  <c r="W15" i="4"/>
  <c r="W39" i="4"/>
  <c r="W46" i="4"/>
  <c r="Y46" i="4"/>
  <c r="Z46" i="4"/>
  <c r="W58" i="4"/>
  <c r="Y58" i="4"/>
  <c r="Z58" i="4"/>
  <c r="W65" i="4"/>
  <c r="W11" i="4"/>
  <c r="W63" i="4"/>
  <c r="Y63" i="4"/>
  <c r="Z63" i="4"/>
  <c r="W48" i="4"/>
  <c r="W49" i="4"/>
  <c r="W56" i="4"/>
  <c r="Y56" i="4"/>
  <c r="Z56" i="4"/>
  <c r="W33" i="4"/>
  <c r="W7" i="4"/>
  <c r="W53" i="4"/>
  <c r="Y53" i="4"/>
  <c r="Z53" i="4"/>
  <c r="W6" i="4"/>
  <c r="W50" i="4"/>
  <c r="W70" i="4"/>
  <c r="T13" i="4"/>
  <c r="Q123" i="4"/>
  <c r="T8" i="4"/>
  <c r="U8" i="4"/>
  <c r="R100" i="4"/>
  <c r="T100" i="4"/>
  <c r="S13" i="4"/>
  <c r="S8" i="4"/>
  <c r="R13" i="4"/>
  <c r="R71" i="4"/>
  <c r="R8" i="4"/>
  <c r="Q13" i="4"/>
  <c r="Q8" i="4"/>
  <c r="P13" i="4"/>
  <c r="P81" i="4"/>
  <c r="P8" i="4"/>
  <c r="P37" i="4"/>
  <c r="P36" i="4"/>
  <c r="P113" i="4"/>
  <c r="V113" i="4"/>
  <c r="P71" i="4"/>
  <c r="Q37" i="4"/>
  <c r="Q36" i="4"/>
  <c r="Q71" i="4"/>
  <c r="R37" i="4"/>
  <c r="R36" i="4"/>
  <c r="S37" i="4"/>
  <c r="S36" i="4"/>
  <c r="T37" i="4"/>
  <c r="T36" i="4"/>
  <c r="AA57" i="4"/>
  <c r="AA29" i="4"/>
  <c r="Z29" i="4"/>
  <c r="AA26" i="4"/>
  <c r="P133" i="4"/>
  <c r="P120" i="4"/>
  <c r="P121" i="4"/>
  <c r="P122" i="4"/>
  <c r="P123" i="4"/>
  <c r="P124" i="4"/>
  <c r="P126" i="4"/>
  <c r="P127" i="4"/>
  <c r="P128" i="4"/>
  <c r="W85" i="4"/>
  <c r="W86" i="4"/>
  <c r="AB86" i="4"/>
  <c r="W87" i="4"/>
  <c r="W88" i="4"/>
  <c r="W90" i="4"/>
  <c r="W91" i="4"/>
  <c r="AB91" i="4"/>
  <c r="W92" i="4"/>
  <c r="W95" i="4"/>
  <c r="W98" i="4"/>
  <c r="AB98" i="4"/>
  <c r="W99" i="4"/>
  <c r="W100" i="4"/>
  <c r="W101" i="4"/>
  <c r="W102" i="4"/>
  <c r="W103" i="4"/>
  <c r="AB103" i="4"/>
  <c r="W104" i="4"/>
  <c r="W105" i="4"/>
  <c r="W106" i="4"/>
  <c r="W108" i="4"/>
  <c r="AB108" i="4"/>
  <c r="W109" i="4"/>
  <c r="W110" i="4"/>
  <c r="W111" i="4"/>
  <c r="W112" i="4"/>
  <c r="AB112" i="4"/>
  <c r="W114" i="4"/>
  <c r="AB114" i="4"/>
  <c r="W115" i="4"/>
  <c r="X85" i="4"/>
  <c r="X86" i="4"/>
  <c r="X87" i="4"/>
  <c r="X88" i="4"/>
  <c r="X89" i="4"/>
  <c r="X90" i="4"/>
  <c r="AB90" i="4"/>
  <c r="X91" i="4"/>
  <c r="X92" i="4"/>
  <c r="X95" i="4"/>
  <c r="X96" i="4"/>
  <c r="AB96" i="4"/>
  <c r="X97" i="4"/>
  <c r="X98" i="4"/>
  <c r="X99" i="4"/>
  <c r="X104" i="4"/>
  <c r="X106" i="4"/>
  <c r="X107" i="4"/>
  <c r="X108" i="4"/>
  <c r="X109" i="4"/>
  <c r="X110" i="4"/>
  <c r="X111" i="4"/>
  <c r="X112" i="4"/>
  <c r="X113" i="4"/>
  <c r="X114" i="4"/>
  <c r="X115" i="4"/>
  <c r="Y85" i="4"/>
  <c r="AB85" i="4"/>
  <c r="Y86" i="4"/>
  <c r="Y87" i="4"/>
  <c r="Y88" i="4"/>
  <c r="Y90" i="4"/>
  <c r="Y91" i="4"/>
  <c r="Y92" i="4"/>
  <c r="Y95" i="4"/>
  <c r="Y98" i="4"/>
  <c r="Y99" i="4"/>
  <c r="Y104" i="4"/>
  <c r="Y106" i="4"/>
  <c r="Y107" i="4"/>
  <c r="Y108" i="4"/>
  <c r="Y109" i="4"/>
  <c r="Y110" i="4"/>
  <c r="Y111" i="4"/>
  <c r="Y112" i="4"/>
  <c r="Y113" i="4"/>
  <c r="Y114" i="4"/>
  <c r="Y115" i="4"/>
  <c r="Z85" i="4"/>
  <c r="Z86" i="4"/>
  <c r="Z87" i="4"/>
  <c r="Z116" i="4"/>
  <c r="Z88" i="4"/>
  <c r="Z89" i="4"/>
  <c r="Z90" i="4"/>
  <c r="Z91" i="4"/>
  <c r="Z92" i="4"/>
  <c r="Z96" i="4"/>
  <c r="Z97" i="4"/>
  <c r="Z98" i="4"/>
  <c r="Z99" i="4"/>
  <c r="Z100" i="4"/>
  <c r="Z101" i="4"/>
  <c r="Z102" i="4"/>
  <c r="Z103" i="4"/>
  <c r="Z104" i="4"/>
  <c r="Z105" i="4"/>
  <c r="Z106" i="4"/>
  <c r="Z107" i="4"/>
  <c r="Z108" i="4"/>
  <c r="Z109" i="4"/>
  <c r="Z110" i="4"/>
  <c r="Z111" i="4"/>
  <c r="AB111" i="4"/>
  <c r="Z112" i="4"/>
  <c r="Z113" i="4"/>
  <c r="Z114" i="4"/>
  <c r="Z115" i="4"/>
  <c r="AA85" i="4"/>
  <c r="AA86" i="4"/>
  <c r="AA87" i="4"/>
  <c r="AA88" i="4"/>
  <c r="AA89" i="4"/>
  <c r="AA90" i="4"/>
  <c r="AA91" i="4"/>
  <c r="AA92" i="4"/>
  <c r="AA95" i="4"/>
  <c r="AA96" i="4"/>
  <c r="AA97" i="4"/>
  <c r="AA98" i="4"/>
  <c r="AA99" i="4"/>
  <c r="AA100" i="4"/>
  <c r="AA101" i="4"/>
  <c r="AA103" i="4"/>
  <c r="AA104" i="4"/>
  <c r="AA105" i="4"/>
  <c r="AA106" i="4"/>
  <c r="AA107" i="4"/>
  <c r="AA108" i="4"/>
  <c r="AA109" i="4"/>
  <c r="AA110" i="4"/>
  <c r="AA111" i="4"/>
  <c r="AA112" i="4"/>
  <c r="AA113" i="4"/>
  <c r="AA114" i="4"/>
  <c r="AA115" i="4"/>
  <c r="P89" i="4"/>
  <c r="V89" i="4"/>
  <c r="V93" i="4"/>
  <c r="P96" i="4"/>
  <c r="V96" i="4"/>
  <c r="V116" i="4"/>
  <c r="P97" i="4"/>
  <c r="V97" i="4"/>
  <c r="P98" i="4"/>
  <c r="V98" i="4"/>
  <c r="P99" i="4"/>
  <c r="V99" i="4"/>
  <c r="P100" i="4"/>
  <c r="V100" i="4"/>
  <c r="P101" i="4"/>
  <c r="V101" i="4"/>
  <c r="P102" i="4"/>
  <c r="V102" i="4"/>
  <c r="P103" i="4"/>
  <c r="V103" i="4"/>
  <c r="P105" i="4"/>
  <c r="V105" i="4"/>
  <c r="P106" i="4"/>
  <c r="V106" i="4"/>
  <c r="P107" i="4"/>
  <c r="V107" i="4"/>
  <c r="P85" i="4"/>
  <c r="U85" i="4"/>
  <c r="P86" i="4"/>
  <c r="U86" i="4"/>
  <c r="P87" i="4"/>
  <c r="U87" i="4"/>
  <c r="P88" i="4"/>
  <c r="U88" i="4"/>
  <c r="U89" i="4"/>
  <c r="P90" i="4"/>
  <c r="U90" i="4"/>
  <c r="P91" i="4"/>
  <c r="U91" i="4"/>
  <c r="U92" i="4"/>
  <c r="P95" i="4"/>
  <c r="U95" i="4"/>
  <c r="P108" i="4"/>
  <c r="U108" i="4"/>
  <c r="P109" i="4"/>
  <c r="U109" i="4"/>
  <c r="P110" i="4"/>
  <c r="U110" i="4"/>
  <c r="P111" i="4"/>
  <c r="U111" i="4"/>
  <c r="P112" i="4"/>
  <c r="U112" i="4"/>
  <c r="P114" i="4"/>
  <c r="U114" i="4"/>
  <c r="P115" i="4"/>
  <c r="U115" i="4"/>
  <c r="P92" i="4"/>
  <c r="P104" i="4"/>
  <c r="AB115" i="4"/>
  <c r="AB110" i="4"/>
  <c r="AB106" i="4"/>
  <c r="AB104" i="4"/>
  <c r="AB99" i="4"/>
  <c r="AB95" i="4"/>
  <c r="AB89" i="4"/>
  <c r="AB87" i="4"/>
  <c r="W40" i="4"/>
  <c r="S78" i="4"/>
  <c r="R74" i="4"/>
  <c r="R78" i="4"/>
  <c r="Q74" i="4"/>
  <c r="Q75" i="4"/>
  <c r="Q76" i="4"/>
  <c r="Q78" i="4"/>
  <c r="Q79" i="4"/>
  <c r="Q80" i="4"/>
  <c r="P74" i="4"/>
  <c r="P75" i="4"/>
  <c r="P76" i="4"/>
  <c r="P78" i="4"/>
  <c r="P79" i="4"/>
  <c r="P80" i="4"/>
  <c r="Y41" i="4"/>
  <c r="Y40" i="4"/>
  <c r="Y68" i="4"/>
  <c r="Y7" i="4"/>
  <c r="Y22" i="4"/>
  <c r="Z22" i="4"/>
  <c r="Y5" i="4"/>
  <c r="Y11" i="4"/>
  <c r="Y65" i="4"/>
  <c r="Y48" i="4"/>
  <c r="Y38" i="4"/>
  <c r="Z38" i="4"/>
  <c r="Y39" i="4"/>
  <c r="Y14" i="4"/>
  <c r="Z14" i="4"/>
  <c r="Y15" i="4"/>
  <c r="Y18" i="4"/>
  <c r="Y35" i="4"/>
  <c r="Y67" i="4"/>
  <c r="Z67" i="4"/>
  <c r="Y19" i="4"/>
  <c r="Y44" i="4"/>
  <c r="Y9" i="4"/>
  <c r="Z9" i="4"/>
  <c r="Y10" i="4"/>
  <c r="Y42" i="4"/>
  <c r="Y61" i="4"/>
  <c r="Z61" i="4"/>
  <c r="Y62" i="4"/>
  <c r="Y3" i="4"/>
  <c r="Y6" i="4"/>
  <c r="Y50" i="4"/>
  <c r="Y49" i="4"/>
  <c r="Z49" i="4"/>
  <c r="Y31" i="4"/>
  <c r="Z31" i="4"/>
  <c r="Y33" i="4"/>
  <c r="Z33" i="4"/>
  <c r="AA33" i="4"/>
  <c r="AA31" i="4"/>
  <c r="AA30" i="4"/>
  <c r="AA28" i="4"/>
  <c r="AA49" i="4"/>
  <c r="AA45" i="4"/>
  <c r="AA70" i="4"/>
  <c r="AA50" i="4"/>
  <c r="Z50" i="4"/>
  <c r="AA43" i="4"/>
  <c r="AA6" i="4"/>
  <c r="Z6" i="4"/>
  <c r="AA60" i="4"/>
  <c r="AA3" i="4"/>
  <c r="Z3" i="4"/>
  <c r="AA17" i="4"/>
  <c r="AA16" i="4"/>
  <c r="AA62" i="4"/>
  <c r="Z62" i="4"/>
  <c r="AA61" i="4"/>
  <c r="AA51" i="4"/>
  <c r="AA42" i="4"/>
  <c r="Z42" i="4"/>
  <c r="AA10" i="4"/>
  <c r="Z10" i="4"/>
  <c r="AA9" i="4"/>
  <c r="AA44" i="4"/>
  <c r="Z44" i="4"/>
  <c r="AA54" i="4"/>
  <c r="Z54" i="4"/>
  <c r="AA19" i="4"/>
  <c r="Z19" i="4"/>
  <c r="AA67" i="4"/>
  <c r="AA35" i="4"/>
  <c r="Z35" i="4"/>
  <c r="AA66" i="4"/>
  <c r="AA34" i="4"/>
  <c r="AA69" i="4"/>
  <c r="AA18" i="4"/>
  <c r="Z18" i="4"/>
  <c r="AA56" i="4"/>
  <c r="AA21" i="4"/>
  <c r="AA4" i="4"/>
  <c r="AA59" i="4"/>
  <c r="AA2" i="4"/>
  <c r="AA15" i="4"/>
  <c r="Z15" i="4"/>
  <c r="AA14" i="4"/>
  <c r="AA46" i="4"/>
  <c r="AA58" i="4"/>
  <c r="AA39" i="4"/>
  <c r="Z39" i="4"/>
  <c r="AA38" i="4"/>
  <c r="AA48" i="4"/>
  <c r="Z48" i="4"/>
  <c r="AA47" i="4"/>
  <c r="AA65" i="4"/>
  <c r="Z65" i="4"/>
  <c r="AA64" i="4"/>
  <c r="AA36" i="4"/>
  <c r="AA63" i="4"/>
  <c r="AA11" i="4"/>
  <c r="Z11" i="4"/>
  <c r="AA8" i="4"/>
  <c r="AA27" i="4"/>
  <c r="AA25" i="4"/>
  <c r="Z25" i="4"/>
  <c r="AA5" i="4"/>
  <c r="Z5" i="4"/>
  <c r="AA22" i="4"/>
  <c r="AA12" i="4"/>
  <c r="AA53" i="4"/>
  <c r="AA7" i="4"/>
  <c r="Z7" i="4"/>
  <c r="AA55" i="4"/>
  <c r="AA20" i="4"/>
  <c r="AA68" i="4"/>
  <c r="Z68" i="4"/>
  <c r="AA40" i="4"/>
  <c r="Z40" i="4"/>
  <c r="AA41" i="4"/>
  <c r="Z41" i="4"/>
  <c r="AA32" i="4"/>
  <c r="AA24" i="4"/>
  <c r="AA23" i="4"/>
  <c r="AB94" i="4"/>
  <c r="U116" i="4"/>
  <c r="Z4" i="4"/>
  <c r="U37" i="4"/>
  <c r="W37" i="4"/>
  <c r="Q107" i="4"/>
  <c r="V37" i="4"/>
  <c r="W8" i="4"/>
  <c r="Y8" i="4"/>
  <c r="W107" i="4"/>
  <c r="AB107" i="4"/>
  <c r="S108" i="4"/>
  <c r="T108" i="4"/>
  <c r="W57" i="4"/>
  <c r="Y57" i="4"/>
  <c r="Z57" i="4"/>
  <c r="R103" i="4"/>
  <c r="W59" i="4"/>
  <c r="Y59" i="4"/>
  <c r="Z59" i="4"/>
  <c r="U13" i="4"/>
  <c r="R90" i="4"/>
  <c r="X24" i="4"/>
  <c r="Y24" i="4"/>
  <c r="Z24" i="4"/>
  <c r="R105" i="4"/>
  <c r="Y47" i="4"/>
  <c r="Z47" i="4"/>
  <c r="R111" i="4"/>
  <c r="Y70" i="4"/>
  <c r="Z70" i="4"/>
  <c r="AE68" i="5"/>
  <c r="AG68" i="5"/>
  <c r="AH68" i="5"/>
  <c r="AB87" i="5"/>
  <c r="F14" i="8"/>
  <c r="D6" i="8"/>
  <c r="AE13" i="5"/>
  <c r="D24" i="8"/>
  <c r="D13" i="8"/>
  <c r="D20" i="8"/>
  <c r="D21" i="8"/>
  <c r="D25" i="8"/>
  <c r="D26" i="8"/>
  <c r="D27" i="8"/>
  <c r="Z97" i="5"/>
  <c r="AC72" i="5"/>
  <c r="R88" i="4"/>
  <c r="T88" i="4"/>
  <c r="X28" i="4"/>
  <c r="R75" i="4"/>
  <c r="T86" i="4"/>
  <c r="AF9" i="5"/>
  <c r="AG9" i="5"/>
  <c r="AH9" i="5"/>
  <c r="AE20" i="5"/>
  <c r="D3" i="8"/>
  <c r="Z76" i="5"/>
  <c r="AE59" i="5"/>
  <c r="AG59" i="5"/>
  <c r="AH59" i="5"/>
  <c r="Z93" i="5"/>
  <c r="Z99" i="5"/>
  <c r="Z100" i="5"/>
  <c r="D7" i="8"/>
  <c r="AE17" i="5"/>
  <c r="AG17" i="5"/>
  <c r="AH17" i="5"/>
  <c r="AD5" i="5"/>
  <c r="AA80" i="5"/>
  <c r="AB109" i="4"/>
  <c r="T75" i="4"/>
  <c r="U55" i="4"/>
  <c r="V55" i="4"/>
  <c r="S93" i="4"/>
  <c r="Q93" i="4"/>
  <c r="W93" i="4"/>
  <c r="AB93" i="4"/>
  <c r="AG63" i="5"/>
  <c r="AH63" i="5"/>
  <c r="AG29" i="5"/>
  <c r="AH29" i="5"/>
  <c r="AG43" i="5"/>
  <c r="AH43" i="5"/>
  <c r="Z80" i="5"/>
  <c r="AA79" i="5"/>
  <c r="T115" i="4"/>
  <c r="T109" i="4"/>
  <c r="T103" i="4"/>
  <c r="T96" i="4"/>
  <c r="S90" i="4"/>
  <c r="T90" i="4"/>
  <c r="S86" i="4"/>
  <c r="F12" i="8"/>
  <c r="AB85" i="5"/>
  <c r="AE56" i="5"/>
  <c r="AG56" i="5"/>
  <c r="AH56" i="5"/>
  <c r="AE33" i="5"/>
  <c r="AG33" i="5"/>
  <c r="AH33" i="5"/>
  <c r="P116" i="4"/>
  <c r="P132" i="4"/>
  <c r="P134" i="4"/>
  <c r="V13" i="4"/>
  <c r="W13" i="4"/>
  <c r="T81" i="4"/>
  <c r="Q102" i="4"/>
  <c r="U52" i="4"/>
  <c r="W52" i="4"/>
  <c r="V52" i="4"/>
  <c r="S94" i="4"/>
  <c r="Q94" i="4"/>
  <c r="AB97" i="4"/>
  <c r="Q81" i="4"/>
  <c r="Q77" i="4"/>
  <c r="Q82" i="4"/>
  <c r="AB92" i="4"/>
  <c r="T71" i="4"/>
  <c r="S71" i="4"/>
  <c r="AA37" i="4"/>
  <c r="AA13" i="4"/>
  <c r="Y43" i="4"/>
  <c r="Z43" i="4"/>
  <c r="Y64" i="4"/>
  <c r="Z64" i="4"/>
  <c r="R76" i="4"/>
  <c r="S79" i="4"/>
  <c r="S74" i="4"/>
  <c r="AA102" i="4"/>
  <c r="AA116" i="4"/>
  <c r="AB105" i="4"/>
  <c r="AB101" i="4"/>
  <c r="AB88" i="4"/>
  <c r="V36" i="4"/>
  <c r="S113" i="4"/>
  <c r="U36" i="4"/>
  <c r="Q113" i="4"/>
  <c r="W113" i="4"/>
  <c r="AB113" i="4"/>
  <c r="P129" i="4"/>
  <c r="P130" i="4"/>
  <c r="P77" i="4"/>
  <c r="P82" i="4"/>
  <c r="W12" i="4"/>
  <c r="W45" i="4"/>
  <c r="T74" i="4"/>
  <c r="X102" i="4"/>
  <c r="AB102" i="4"/>
  <c r="AG40" i="5"/>
  <c r="AH40" i="5"/>
  <c r="Z79" i="5"/>
  <c r="T105" i="4"/>
  <c r="S111" i="4"/>
  <c r="T111" i="4"/>
  <c r="S112" i="4"/>
  <c r="T112" i="4"/>
  <c r="W21" i="4"/>
  <c r="Y21" i="4"/>
  <c r="Z21" i="4"/>
  <c r="S80" i="4"/>
  <c r="S99" i="4"/>
  <c r="W16" i="4"/>
  <c r="Y16" i="4"/>
  <c r="Z16" i="4"/>
  <c r="S88" i="4"/>
  <c r="X23" i="4"/>
  <c r="R91" i="4"/>
  <c r="E13" i="8"/>
  <c r="AA94" i="5"/>
  <c r="AG32" i="5"/>
  <c r="AH32" i="5"/>
  <c r="AA98" i="5"/>
  <c r="AE67" i="5"/>
  <c r="AG67" i="5"/>
  <c r="AH67" i="5"/>
  <c r="E25" i="8"/>
  <c r="E6" i="8"/>
  <c r="F15" i="8"/>
  <c r="AB88" i="5"/>
  <c r="AG60" i="5"/>
  <c r="AH60" i="5"/>
  <c r="AE31" i="5"/>
  <c r="AG31" i="5"/>
  <c r="AH31" i="5"/>
  <c r="E4" i="8"/>
  <c r="AG34" i="5"/>
  <c r="AH34" i="5"/>
  <c r="B7" i="8"/>
  <c r="X72" i="5"/>
  <c r="I156" i="7"/>
  <c r="X99" i="5"/>
  <c r="X100" i="5"/>
  <c r="X80" i="5"/>
  <c r="X81" i="5"/>
  <c r="AI16" i="5"/>
  <c r="Y100" i="4"/>
  <c r="AB100" i="4"/>
  <c r="T99" i="4"/>
  <c r="S95" i="4"/>
  <c r="T95" i="4"/>
  <c r="S89" i="4"/>
  <c r="R93" i="4"/>
  <c r="X32" i="4"/>
  <c r="S92" i="4"/>
  <c r="T92" i="4"/>
  <c r="R109" i="4"/>
  <c r="R87" i="4"/>
  <c r="E15" i="8"/>
  <c r="D5" i="8"/>
  <c r="AE69" i="5"/>
  <c r="AG69" i="5"/>
  <c r="AH69" i="5"/>
  <c r="AE11" i="5"/>
  <c r="AG11" i="5"/>
  <c r="AH11" i="5"/>
  <c r="AE39" i="5"/>
  <c r="AG39" i="5"/>
  <c r="AH39" i="5"/>
  <c r="AE3" i="5"/>
  <c r="AD19" i="5"/>
  <c r="C22" i="8"/>
  <c r="C26" i="8"/>
  <c r="C27" i="8"/>
  <c r="AE23" i="5"/>
  <c r="D4" i="8"/>
  <c r="AE62" i="5"/>
  <c r="AG62" i="5"/>
  <c r="AH62" i="5"/>
  <c r="T97" i="4"/>
  <c r="T89" i="4"/>
  <c r="S85" i="4"/>
  <c r="T85" i="4"/>
  <c r="B8" i="8"/>
  <c r="AF50" i="5"/>
  <c r="AA85" i="5"/>
  <c r="AE22" i="5"/>
  <c r="AG22" i="5"/>
  <c r="AH22" i="5"/>
  <c r="AE28" i="5"/>
  <c r="AG28" i="5"/>
  <c r="AH28" i="5"/>
  <c r="AE54" i="5"/>
  <c r="AG54" i="5"/>
  <c r="AH54" i="5"/>
  <c r="AE5" i="5"/>
  <c r="AE4" i="5"/>
  <c r="AG4" i="5"/>
  <c r="AH4" i="5"/>
  <c r="D35" i="8"/>
  <c r="Z8" i="4"/>
  <c r="AG5" i="5"/>
  <c r="AH5" i="5"/>
  <c r="AD72" i="5"/>
  <c r="S91" i="4"/>
  <c r="T91" i="4"/>
  <c r="Y23" i="4"/>
  <c r="Z23" i="4"/>
  <c r="R113" i="4"/>
  <c r="R80" i="4"/>
  <c r="V71" i="4"/>
  <c r="T87" i="4"/>
  <c r="T93" i="4"/>
  <c r="Q116" i="4"/>
  <c r="E7" i="8"/>
  <c r="AF72" i="5"/>
  <c r="AB97" i="5"/>
  <c r="F24" i="8"/>
  <c r="F6" i="8"/>
  <c r="AE19" i="5"/>
  <c r="AE72" i="5"/>
  <c r="AB79" i="5"/>
  <c r="AG13" i="5"/>
  <c r="X116" i="4"/>
  <c r="F35" i="8"/>
  <c r="X71" i="4"/>
  <c r="Y45" i="4"/>
  <c r="Z45" i="4"/>
  <c r="T79" i="4"/>
  <c r="W116" i="4"/>
  <c r="AA99" i="5"/>
  <c r="Z81" i="5"/>
  <c r="AB91" i="5"/>
  <c r="AA76" i="5"/>
  <c r="Y28" i="4"/>
  <c r="Z28" i="4"/>
  <c r="S75" i="4"/>
  <c r="S82" i="4"/>
  <c r="AB98" i="5"/>
  <c r="AG50" i="5"/>
  <c r="AH50" i="5"/>
  <c r="Y32" i="4"/>
  <c r="Z32" i="4"/>
  <c r="S107" i="4"/>
  <c r="T107" i="4"/>
  <c r="S77" i="4"/>
  <c r="Q129" i="4"/>
  <c r="F20" i="8"/>
  <c r="AB93" i="5"/>
  <c r="F4" i="8"/>
  <c r="AB77" i="5"/>
  <c r="AG23" i="5"/>
  <c r="AH23" i="5"/>
  <c r="F26" i="8"/>
  <c r="F7" i="8"/>
  <c r="AB99" i="5"/>
  <c r="AB80" i="5"/>
  <c r="AG3" i="5"/>
  <c r="AH3" i="5"/>
  <c r="E12" i="8"/>
  <c r="Y12" i="4"/>
  <c r="Z12" i="4"/>
  <c r="T77" i="4"/>
  <c r="T82" i="4"/>
  <c r="T113" i="4"/>
  <c r="R94" i="4"/>
  <c r="T94" i="4"/>
  <c r="Y52" i="4"/>
  <c r="F13" i="8"/>
  <c r="F3" i="8"/>
  <c r="AB76" i="5"/>
  <c r="AG20" i="5"/>
  <c r="AH20" i="5"/>
  <c r="AB86" i="5"/>
  <c r="W71" i="4"/>
  <c r="T78" i="4"/>
  <c r="R107" i="4"/>
  <c r="R77" i="4"/>
  <c r="Y37" i="4"/>
  <c r="Z37" i="4"/>
  <c r="E5" i="8"/>
  <c r="AA95" i="5"/>
  <c r="AA100" i="5"/>
  <c r="E22" i="8"/>
  <c r="AA78" i="5"/>
  <c r="AG19" i="5"/>
  <c r="W36" i="4"/>
  <c r="T80" i="4"/>
  <c r="U71" i="4"/>
  <c r="S102" i="4"/>
  <c r="S81" i="4"/>
  <c r="E3" i="8"/>
  <c r="S76" i="4"/>
  <c r="W55" i="4"/>
  <c r="Y55" i="4"/>
  <c r="Z55" i="4"/>
  <c r="E26" i="8"/>
  <c r="D8" i="8"/>
  <c r="F18" i="8"/>
  <c r="F25" i="8"/>
  <c r="R102" i="4"/>
  <c r="T102" i="4"/>
  <c r="Y13" i="4"/>
  <c r="Z13" i="4"/>
  <c r="R81" i="4"/>
  <c r="Y116" i="4"/>
  <c r="E35" i="8"/>
  <c r="G33" i="8"/>
  <c r="G34" i="8"/>
  <c r="T116" i="4"/>
  <c r="F5" i="8"/>
  <c r="F8" i="8"/>
  <c r="AB116" i="4"/>
  <c r="C35" i="8"/>
  <c r="E8" i="8"/>
  <c r="F22" i="8"/>
  <c r="F27" i="8"/>
  <c r="AB95" i="5"/>
  <c r="AB100" i="5"/>
  <c r="AB78" i="5"/>
  <c r="AB81" i="5"/>
  <c r="Q130" i="4"/>
  <c r="V122" i="4"/>
  <c r="AA81" i="5"/>
  <c r="AG72" i="5"/>
  <c r="AH13" i="5"/>
  <c r="R116" i="4"/>
  <c r="Q117" i="4"/>
  <c r="S116" i="4"/>
  <c r="E27" i="8"/>
  <c r="Y36" i="4"/>
  <c r="Z36" i="4"/>
  <c r="G31" i="8"/>
  <c r="R82" i="4"/>
  <c r="G32" i="8"/>
  <c r="G35" i="8"/>
  <c r="Y71" i="4"/>
  <c r="W122" i="4"/>
  <c r="V124" i="4"/>
</calcChain>
</file>

<file path=xl/comments1.xml><?xml version="1.0" encoding="utf-8"?>
<comments xmlns="http://schemas.openxmlformats.org/spreadsheetml/2006/main">
  <authors>
    <author>cbitoune</author>
  </authors>
  <commentList>
    <comment ref="I56" authorId="0">
      <text>
        <r>
          <rPr>
            <b/>
            <sz val="8"/>
            <color indexed="81"/>
            <rFont val="Tahoma"/>
            <family val="2"/>
          </rPr>
          <t>cbitoune:</t>
        </r>
        <r>
          <rPr>
            <sz val="8"/>
            <color indexed="81"/>
            <rFont val="Tahoma"/>
            <family val="2"/>
          </rPr>
          <t xml:space="preserve">
CESNET took over from UCPH</t>
        </r>
      </text>
    </comment>
    <comment ref="I66" authorId="0">
      <text>
        <r>
          <rPr>
            <b/>
            <sz val="8"/>
            <color indexed="81"/>
            <rFont val="Tahoma"/>
            <family val="2"/>
          </rPr>
          <t>cbitoune:</t>
        </r>
        <r>
          <rPr>
            <sz val="8"/>
            <color indexed="81"/>
            <rFont val="Tahoma"/>
            <family val="2"/>
          </rPr>
          <t xml:space="preserve">
UEDIN withdrew; Y1 declared 4.8 but not claimed in Costs</t>
        </r>
      </text>
    </comment>
  </commentList>
</comments>
</file>

<file path=xl/comments2.xml><?xml version="1.0" encoding="utf-8"?>
<comments xmlns="http://schemas.openxmlformats.org/spreadsheetml/2006/main">
  <authors>
    <author>cbitoune</author>
  </authors>
  <commentList>
    <comment ref="I6" authorId="0">
      <text>
        <r>
          <rPr>
            <b/>
            <sz val="8"/>
            <color indexed="81"/>
            <rFont val="Tahoma"/>
            <family val="2"/>
          </rPr>
          <t>cbitoune:</t>
        </r>
        <r>
          <rPr>
            <sz val="8"/>
            <color indexed="81"/>
            <rFont val="Tahoma"/>
            <family val="2"/>
          </rPr>
          <t xml:space="preserve">
CESNET took over from UCPH</t>
        </r>
      </text>
    </comment>
    <comment ref="I68" authorId="0">
      <text>
        <r>
          <rPr>
            <b/>
            <sz val="8"/>
            <color indexed="81"/>
            <rFont val="Tahoma"/>
            <family val="2"/>
          </rPr>
          <t>cbitoune:</t>
        </r>
        <r>
          <rPr>
            <sz val="8"/>
            <color indexed="81"/>
            <rFont val="Tahoma"/>
            <family val="2"/>
          </rPr>
          <t xml:space="preserve">
UEDIN withdrew; Y1 declared 4.8 but not claimed in Costs</t>
        </r>
      </text>
    </comment>
  </commentList>
</comments>
</file>

<file path=xl/sharedStrings.xml><?xml version="1.0" encoding="utf-8"?>
<sst xmlns="http://schemas.openxmlformats.org/spreadsheetml/2006/main" count="3255" uniqueCount="544">
  <si>
    <t>Activities for EGI Community</t>
  </si>
  <si>
    <t>Sub-Activities for EGI Community</t>
  </si>
  <si>
    <t>Activities for EC and Financial Statement</t>
  </si>
  <si>
    <t>Project WP</t>
  </si>
  <si>
    <t>Project Activity (tasks)</t>
  </si>
  <si>
    <t>PREVIOUS Project Activity (tasks)</t>
  </si>
  <si>
    <t>Project Activity refund rate %</t>
  </si>
  <si>
    <t>Partner Nr</t>
  </si>
  <si>
    <t>Partner Leader</t>
  </si>
  <si>
    <t xml:space="preserve">Service Name - TASK DESCRIPTION </t>
  </si>
  <si>
    <t>PMs Indirect costs</t>
  </si>
  <si>
    <t>TRAVEL Costs</t>
  </si>
  <si>
    <t>Total costs (effort, travel, overhead)</t>
  </si>
  <si>
    <t>EC funding</t>
  </si>
  <si>
    <t xml:space="preserve">Total Funding </t>
  </si>
  <si>
    <t>EGI Organisation</t>
  </si>
  <si>
    <t>Global tasks Finance</t>
  </si>
  <si>
    <t>Management (C)</t>
  </si>
  <si>
    <t>WP1-E</t>
  </si>
  <si>
    <t>NA1.2</t>
  </si>
  <si>
    <t>EGI.eu</t>
  </si>
  <si>
    <t>Global tasks Management</t>
  </si>
  <si>
    <t xml:space="preserve">Technical Management </t>
  </si>
  <si>
    <t>WP1-M</t>
  </si>
  <si>
    <t>NA1.3 + NA1.4</t>
  </si>
  <si>
    <t xml:space="preserve">Project technical Management </t>
  </si>
  <si>
    <t xml:space="preserve">Project Finance Management </t>
  </si>
  <si>
    <t>NA1.1 + NA1.2</t>
  </si>
  <si>
    <t>Outreach</t>
  </si>
  <si>
    <t>COORDINATION (B)</t>
  </si>
  <si>
    <t>WP2-E</t>
  </si>
  <si>
    <t>NA2.1</t>
  </si>
  <si>
    <t>Outreach Management</t>
  </si>
  <si>
    <t>NA2.2</t>
  </si>
  <si>
    <t>marketing (Dissemination)</t>
  </si>
  <si>
    <t>NA2.3</t>
  </si>
  <si>
    <t>Strategic Planning and Policy Support</t>
  </si>
  <si>
    <t>Community Outreach</t>
  </si>
  <si>
    <t>NA3.2</t>
  </si>
  <si>
    <t>Technical Outreach to new Communities</t>
  </si>
  <si>
    <t>Infrastructure</t>
  </si>
  <si>
    <t>Human</t>
  </si>
  <si>
    <t>Other (D)</t>
  </si>
  <si>
    <t>WP4-E</t>
  </si>
  <si>
    <t>SA1.1</t>
  </si>
  <si>
    <t>Operations Coordination</t>
  </si>
  <si>
    <t>Technology</t>
  </si>
  <si>
    <t>WP5-E</t>
  </si>
  <si>
    <t>SA2.1</t>
  </si>
  <si>
    <t xml:space="preserve">EGI.eu </t>
  </si>
  <si>
    <t>SA2.4</t>
  </si>
  <si>
    <t>CESNET</t>
  </si>
  <si>
    <t>Repository and Support Processes</t>
  </si>
  <si>
    <t>SA2.5</t>
  </si>
  <si>
    <t>DMSU (Deployed Middleware Support Unit)</t>
  </si>
  <si>
    <t>Operation</t>
  </si>
  <si>
    <t>SA1.6</t>
  </si>
  <si>
    <t>KIT-G</t>
  </si>
  <si>
    <t>Tools (GGUS) - Operation of GGUS</t>
  </si>
  <si>
    <t>SA1.7</t>
  </si>
  <si>
    <t>Service Desk - 1st line support</t>
  </si>
  <si>
    <t>Maintenance</t>
  </si>
  <si>
    <t>WP7-E</t>
  </si>
  <si>
    <t>JRA1.2</t>
  </si>
  <si>
    <t>Maintenance of GGUS</t>
  </si>
  <si>
    <t>KIT-G (JUELICH)</t>
  </si>
  <si>
    <t>Development</t>
  </si>
  <si>
    <t>RTD (A) - General tasks</t>
  </si>
  <si>
    <t>WP7-G</t>
  </si>
  <si>
    <t>JRA1.4</t>
  </si>
  <si>
    <t>KIT-G (LUH)</t>
  </si>
  <si>
    <t>Accounting development and regionalization</t>
  </si>
  <si>
    <t>NA3.3</t>
  </si>
  <si>
    <t>CISC</t>
  </si>
  <si>
    <t>SA2.2, 2.3</t>
  </si>
  <si>
    <t>Criteria Definition+ verification</t>
  </si>
  <si>
    <t>JRA1.3</t>
  </si>
  <si>
    <t>CISC (FCTSG)</t>
  </si>
  <si>
    <t>SA1.5</t>
  </si>
  <si>
    <t>Tools  Accounting portal and repository</t>
  </si>
  <si>
    <t>SA2.3</t>
  </si>
  <si>
    <t>Maintenance of Accounting portal and repository</t>
  </si>
  <si>
    <t>SA1.3</t>
  </si>
  <si>
    <t>CSIC</t>
  </si>
  <si>
    <t>Staged Rollout</t>
  </si>
  <si>
    <t>SA1.4</t>
  </si>
  <si>
    <t>SA1.8</t>
  </si>
  <si>
    <t>CSC</t>
  </si>
  <si>
    <t>Coordination of documentation</t>
  </si>
  <si>
    <t>CNRS</t>
  </si>
  <si>
    <t>Tools Operation of Operations Portal</t>
  </si>
  <si>
    <t>Maintenance of Operations Portal</t>
  </si>
  <si>
    <t>JRA1.5</t>
  </si>
  <si>
    <t xml:space="preserve">CNRS </t>
  </si>
  <si>
    <t>Integrated Operations Portal</t>
  </si>
  <si>
    <t>Supporting National Deployment Models</t>
  </si>
  <si>
    <t>GRNET</t>
  </si>
  <si>
    <t>Tools Operation of Messaging</t>
  </si>
  <si>
    <t>VO catch all services, catch all CA</t>
  </si>
  <si>
    <t xml:space="preserve">Maintenance of messaging </t>
  </si>
  <si>
    <t>GRNET, AUTH, IASA, ICCS</t>
  </si>
  <si>
    <t>Services</t>
  </si>
  <si>
    <t>WP3-E</t>
  </si>
  <si>
    <t>GRNET, IASA</t>
  </si>
  <si>
    <t>APP DB</t>
  </si>
  <si>
    <t>SRCE</t>
  </si>
  <si>
    <t>Maintenance of SAM</t>
  </si>
  <si>
    <t>Regionalization of SAM</t>
  </si>
  <si>
    <t>INFN</t>
  </si>
  <si>
    <t>JRA1.1</t>
  </si>
  <si>
    <t>Tool Dev. Coordination</t>
  </si>
  <si>
    <t>INFN (GARR)</t>
  </si>
  <si>
    <t>Tools Network troubleshooting tools</t>
  </si>
  <si>
    <t>FOM</t>
  </si>
  <si>
    <t>SA1.2</t>
  </si>
  <si>
    <t>Security Coordination</t>
  </si>
  <si>
    <t>SARA</t>
  </si>
  <si>
    <t>Central Grid Oversight</t>
  </si>
  <si>
    <t>CYFRONET</t>
  </si>
  <si>
    <t>LIP</t>
  </si>
  <si>
    <t>STFC</t>
  </si>
  <si>
    <t>Training</t>
  </si>
  <si>
    <t>Tools Operation of GOCDB</t>
  </si>
  <si>
    <t>Maintenance of GOCDB</t>
  </si>
  <si>
    <t>Regionalization of GOCDB</t>
  </si>
  <si>
    <t>CERN</t>
  </si>
  <si>
    <t>Tools Operation of central SAM instance</t>
  </si>
  <si>
    <t>Interoperation Coordination</t>
  </si>
  <si>
    <t>PMs Direct costs (real salary)</t>
  </si>
  <si>
    <t>GOCDB</t>
  </si>
  <si>
    <t xml:space="preserve"> Average PM costs</t>
  </si>
  <si>
    <t>VR-SNIC (KTH)</t>
  </si>
  <si>
    <t>VR-SNIC (LIU)</t>
  </si>
  <si>
    <t>Technical Management</t>
  </si>
  <si>
    <t>Community Engagement</t>
  </si>
  <si>
    <t>Community Tech Services</t>
  </si>
  <si>
    <t>Infrastructure Services/Tools</t>
  </si>
  <si>
    <t>Support</t>
  </si>
  <si>
    <t>Operations Mgmt/Coord</t>
  </si>
  <si>
    <t>Operations</t>
  </si>
  <si>
    <t>Coordination</t>
  </si>
  <si>
    <t>Strategic Planning &amp; Policy</t>
  </si>
  <si>
    <t>Technology Management</t>
  </si>
  <si>
    <t>Marketing &amp; Communication</t>
  </si>
  <si>
    <t>Tech. Outreach to New Comm.</t>
  </si>
  <si>
    <t>VO Services</t>
  </si>
  <si>
    <t>Software Criteria &amp; Verification</t>
  </si>
  <si>
    <t>Software Repository</t>
  </si>
  <si>
    <t>Application Database</t>
  </si>
  <si>
    <t>Message Broker Network</t>
  </si>
  <si>
    <t>Operations Portal</t>
  </si>
  <si>
    <t>Accounting Portal</t>
  </si>
  <si>
    <t>Service Availability Monitoring</t>
  </si>
  <si>
    <t>Network Monitoring</t>
  </si>
  <si>
    <t>Helpdesk</t>
  </si>
  <si>
    <t>Coord. Oper. Interoperation</t>
  </si>
  <si>
    <t>Ticket Process Mgmt (1st Supp)</t>
  </si>
  <si>
    <t>DMSU (2nd Supp)</t>
  </si>
  <si>
    <t>Grid Oversight (COD)</t>
  </si>
  <si>
    <t>Availability/Reliability Mgmt.</t>
  </si>
  <si>
    <t>Coord. Operations Security</t>
  </si>
  <si>
    <t>Documentation</t>
  </si>
  <si>
    <t>DEFVER-COORD</t>
  </si>
  <si>
    <t>DEFVER</t>
  </si>
  <si>
    <t>CTS</t>
  </si>
  <si>
    <t>HELP-OPS</t>
  </si>
  <si>
    <t>HELP</t>
  </si>
  <si>
    <t>SUPP</t>
  </si>
  <si>
    <t>TECHMGT-COORD</t>
  </si>
  <si>
    <t>TECHMGT</t>
  </si>
  <si>
    <t>VOS</t>
  </si>
  <si>
    <t>COD-COORD</t>
  </si>
  <si>
    <t>COD</t>
  </si>
  <si>
    <t>OMC</t>
  </si>
  <si>
    <t>SPPS-OUT</t>
  </si>
  <si>
    <t>SPPS</t>
  </si>
  <si>
    <t>GOV</t>
  </si>
  <si>
    <t>COMOUT-OUT</t>
  </si>
  <si>
    <t>COMOUT</t>
  </si>
  <si>
    <t>COMENG</t>
  </si>
  <si>
    <t>DOC-COORD</t>
  </si>
  <si>
    <t>DOC</t>
  </si>
  <si>
    <t>DMSU</t>
  </si>
  <si>
    <t>TPM</t>
  </si>
  <si>
    <t>INTEROP-COORD</t>
  </si>
  <si>
    <t>INTEROP</t>
  </si>
  <si>
    <t>PRJMGT-COORD</t>
  </si>
  <si>
    <t>PRJMGT</t>
  </si>
  <si>
    <t>ARM</t>
  </si>
  <si>
    <t>ACCTP-OPS</t>
  </si>
  <si>
    <t>ACCTP</t>
  </si>
  <si>
    <t>IST</t>
  </si>
  <si>
    <t>APPDB</t>
  </si>
  <si>
    <t>SAM</t>
  </si>
  <si>
    <t>MARCOM-OUT</t>
  </si>
  <si>
    <t>MARCOM</t>
  </si>
  <si>
    <t>ADFIN-COORD</t>
  </si>
  <si>
    <t>ADFIN</t>
  </si>
  <si>
    <t>STAROL-COORD</t>
  </si>
  <si>
    <t>STAROL</t>
  </si>
  <si>
    <t>REPO</t>
  </si>
  <si>
    <t>MESS-OPS</t>
  </si>
  <si>
    <t>MESS</t>
  </si>
  <si>
    <t>SECUR-COORD</t>
  </si>
  <si>
    <t>SECUR</t>
  </si>
  <si>
    <t>TECHOUT-OUT</t>
  </si>
  <si>
    <t>TECHOUT</t>
  </si>
  <si>
    <t>OPPORT-OPS</t>
  </si>
  <si>
    <t>OPPORT</t>
  </si>
  <si>
    <t>NETMON</t>
  </si>
  <si>
    <t>SAM-OPS</t>
  </si>
  <si>
    <t>GOCDB-OPS</t>
  </si>
  <si>
    <t>MESS-MAN</t>
  </si>
  <si>
    <t>ARM-OPS</t>
  </si>
  <si>
    <t>Availability, reliability management</t>
  </si>
  <si>
    <t>Core Services</t>
  </si>
  <si>
    <t>CORE</t>
  </si>
  <si>
    <t>CORE-OPS</t>
  </si>
  <si>
    <t>DMSU-COORD</t>
  </si>
  <si>
    <t>TPM-COORD</t>
  </si>
  <si>
    <t>Non-Tech PMs</t>
  </si>
  <si>
    <t>Tech PMs</t>
  </si>
  <si>
    <t>Service Name Category Breakdown</t>
  </si>
  <si>
    <t>Operational Tool Development</t>
  </si>
  <si>
    <t>OPDEV</t>
  </si>
  <si>
    <t>NETMON-COORD</t>
  </si>
  <si>
    <t>Governance, Admin and Policy</t>
  </si>
  <si>
    <t>Project Mgmt and Admin</t>
  </si>
  <si>
    <t>Org. Admin, Finance, Secretariat</t>
  </si>
  <si>
    <t>EGI.eu Contribution</t>
  </si>
  <si>
    <t>Other</t>
  </si>
  <si>
    <t>Funding from EGI.eu</t>
  </si>
  <si>
    <t>Funding local host (NGI)</t>
  </si>
  <si>
    <t>Funding to EGI.eu from NGIs</t>
  </si>
  <si>
    <t>Service Category (by Activity 7.2.1)</t>
  </si>
  <si>
    <t>Service Name Category (Indv. Service)</t>
  </si>
  <si>
    <t>TMP</t>
  </si>
  <si>
    <t>Training Marketplace</t>
  </si>
  <si>
    <t>ACCTREPO</t>
  </si>
  <si>
    <t>Acounting Repository</t>
  </si>
  <si>
    <t>Metrics Portal</t>
  </si>
  <si>
    <t>METPORT</t>
  </si>
  <si>
    <t>ACCTREPO-OPS</t>
  </si>
  <si>
    <t>Metrics portal</t>
  </si>
  <si>
    <t>Y2 PMs declared in PPT</t>
  </si>
  <si>
    <t>EC vs. Community</t>
  </si>
  <si>
    <t>EC</t>
  </si>
  <si>
    <t>COMM</t>
  </si>
  <si>
    <t>CTDEV</t>
  </si>
  <si>
    <t>Total Cost</t>
  </si>
  <si>
    <t>EC Cost</t>
  </si>
  <si>
    <t>Community Cost</t>
  </si>
  <si>
    <t>COMM &amp; COORD</t>
  </si>
  <si>
    <t>Community Tech Development</t>
  </si>
  <si>
    <t>OPERATIONAL INFRA</t>
  </si>
  <si>
    <t>Infra Services/Tools</t>
  </si>
  <si>
    <t>Operations Coord</t>
  </si>
  <si>
    <t>Operational Tech Services</t>
  </si>
  <si>
    <t>COMMUNITY</t>
  </si>
  <si>
    <t>NA1.4</t>
  </si>
  <si>
    <t>NA1.1M</t>
  </si>
  <si>
    <t>NA1.2E</t>
  </si>
  <si>
    <t>NA1.3M</t>
  </si>
  <si>
    <t>NA1.4M</t>
  </si>
  <si>
    <t>NA1.2M</t>
  </si>
  <si>
    <t>NA2U.1E</t>
  </si>
  <si>
    <t>NA2U.2E</t>
  </si>
  <si>
    <t>NA2U.5E</t>
  </si>
  <si>
    <r>
      <t xml:space="preserve">NA3.4 </t>
    </r>
    <r>
      <rPr>
        <b/>
        <sz val="9"/>
        <color rgb="FFFF0000"/>
        <rFont val="Arial"/>
        <family val="2"/>
      </rPr>
      <t xml:space="preserve"> </t>
    </r>
  </si>
  <si>
    <t>NA3.3E</t>
  </si>
  <si>
    <t>NA2U.3E + NA2.3E</t>
  </si>
  <si>
    <t>NA3.4E</t>
  </si>
  <si>
    <t>SA1.1E</t>
  </si>
  <si>
    <t>SA1.2E</t>
  </si>
  <si>
    <t>SA1.3E</t>
  </si>
  <si>
    <t>SA1.6E</t>
  </si>
  <si>
    <t>SA1.8E</t>
  </si>
  <si>
    <t>SA1.4E</t>
  </si>
  <si>
    <t>SA1.5E</t>
  </si>
  <si>
    <t>SA1.7E</t>
  </si>
  <si>
    <t>SA2.1E</t>
  </si>
  <si>
    <t>Y2 PMs</t>
  </si>
  <si>
    <t>Y2 Actual Cost</t>
  </si>
  <si>
    <t>Y2 EC Funding</t>
  </si>
  <si>
    <t>Steven to check fields</t>
  </si>
  <si>
    <t>NA2U.3E</t>
  </si>
  <si>
    <t>SA2.2 + SA2.3</t>
  </si>
  <si>
    <t>NA2U.4E + NA3.1E</t>
  </si>
  <si>
    <t>NA2.4E + NA3.1</t>
  </si>
  <si>
    <t>NA2.5E + NA3.4E</t>
  </si>
  <si>
    <t>To be adjusted</t>
  </si>
  <si>
    <t>CRM</t>
  </si>
  <si>
    <t>CRM tool</t>
  </si>
  <si>
    <t>%</t>
  </si>
  <si>
    <t>Compute</t>
  </si>
  <si>
    <t>Data</t>
  </si>
  <si>
    <t>Software/Services</t>
  </si>
  <si>
    <t>Support/Coordination</t>
  </si>
  <si>
    <t>Service Portfolio - Category</t>
  </si>
  <si>
    <t>Service Portfolio - Service Name</t>
  </si>
  <si>
    <t>Service Portfolio - Supporting Activity</t>
  </si>
  <si>
    <t>CORETECH</t>
  </si>
  <si>
    <t>COORD</t>
  </si>
  <si>
    <t>TECHCOORD</t>
  </si>
  <si>
    <t>DEV</t>
  </si>
  <si>
    <t>MESSBRKNET</t>
  </si>
  <si>
    <t>Service Category</t>
  </si>
  <si>
    <t>Project and Programme Management</t>
  </si>
  <si>
    <t>Project Management and Planning</t>
  </si>
  <si>
    <t>Collaboration Tools (e.g. wiki, indico, mailing lists)</t>
  </si>
  <si>
    <t>Virtual Teams, Task Forces</t>
  </si>
  <si>
    <t>Admin, Finance and Secretariat</t>
  </si>
  <si>
    <t>Operations Manager Coordination (e.g. OMB)</t>
  </si>
  <si>
    <t>Operations Integration Coordination</t>
  </si>
  <si>
    <t>Grid Oversight</t>
  </si>
  <si>
    <t>Service Level Management</t>
  </si>
  <si>
    <t>Technology Coordination</t>
  </si>
  <si>
    <t>Supplier Management (e.g. TCB)</t>
  </si>
  <si>
    <t>Technical Roadmapping</t>
  </si>
  <si>
    <t>Security Policy Coordination (e.g. SPG)</t>
  </si>
  <si>
    <t>Security Operations Coordination</t>
  </si>
  <si>
    <t>Security Monitoring Tools</t>
  </si>
  <si>
    <t>Security Incident Response</t>
  </si>
  <si>
    <t>Security Training</t>
  </si>
  <si>
    <t>Consulting and Support</t>
  </si>
  <si>
    <t>Specialized Consultancy Services</t>
  </si>
  <si>
    <t>Project Support/Consultancy</t>
  </si>
  <si>
    <t>Market Research and Decision Analysis</t>
  </si>
  <si>
    <t>Reports and Briefing Documents</t>
  </si>
  <si>
    <t>Policy Development</t>
  </si>
  <si>
    <t>Policy Development Process Creation and Support</t>
  </si>
  <si>
    <t>Policy Consultancy</t>
  </si>
  <si>
    <t>Secretariat Support</t>
  </si>
  <si>
    <t>Liaison with external policy bodies (e-IRG)</t>
  </si>
  <si>
    <t>Technical Consultancy and Support</t>
  </si>
  <si>
    <t>Technical Solutions Consultancy</t>
  </si>
  <si>
    <t>Application Porting Support</t>
  </si>
  <si>
    <t>User Community Coordination (e.g. UCB)</t>
  </si>
  <si>
    <t>Requirements Gathering and Analysis</t>
  </si>
  <si>
    <t>Helpdesk Support</t>
  </si>
  <si>
    <t>Incident Management Tool (EGI Helpdesk)</t>
  </si>
  <si>
    <t>Ticket triage and assignment</t>
  </si>
  <si>
    <t>1st Level Support</t>
  </si>
  <si>
    <t>2nd Level Support</t>
  </si>
  <si>
    <t>3rd Level Support</t>
  </si>
  <si>
    <t>Ticket oversight and follow-up</t>
  </si>
  <si>
    <t>Network Support</t>
  </si>
  <si>
    <t>Marketing and Outreach</t>
  </si>
  <si>
    <t>Marketing Services</t>
  </si>
  <si>
    <t>Promotional Material</t>
  </si>
  <si>
    <t>Web content</t>
  </si>
  <si>
    <t>Event Organisation</t>
  </si>
  <si>
    <t>Copywriting</t>
  </si>
  <si>
    <t>Outreach Services</t>
  </si>
  <si>
    <t>Local Champion Coordination</t>
  </si>
  <si>
    <t>Software Services and Platforms</t>
  </si>
  <si>
    <t>Repository of Validated Software</t>
  </si>
  <si>
    <t>Software Validation</t>
  </si>
  <si>
    <t>Software Acceptance Criteria</t>
  </si>
  <si>
    <t>Core Grid Services</t>
  </si>
  <si>
    <t>Service Availability Monitoring (SAM) central service</t>
  </si>
  <si>
    <t>Operational Tools and Meta-service Monitoring (Ops-Monitor)</t>
  </si>
  <si>
    <t>Security monitoring tools</t>
  </si>
  <si>
    <t>Tools (Grid Services) for Resource Centre certification</t>
  </si>
  <si>
    <t>Development of operations monitoring probes</t>
  </si>
  <si>
    <t>CONSUPP</t>
  </si>
  <si>
    <t>HELPSUPP</t>
  </si>
  <si>
    <t>IMT</t>
  </si>
  <si>
    <t>GOVCOORD</t>
  </si>
  <si>
    <t>MARKOUT</t>
  </si>
  <si>
    <t>OUT</t>
  </si>
  <si>
    <t>MARKET</t>
  </si>
  <si>
    <t>MRDA</t>
  </si>
  <si>
    <t>BRIEFDOC</t>
  </si>
  <si>
    <t>POLDEV</t>
  </si>
  <si>
    <t>TECHCONSUP</t>
  </si>
  <si>
    <t>CATCHALL</t>
  </si>
  <si>
    <t>SOFTPLAT</t>
  </si>
  <si>
    <t>OPSCOORD</t>
  </si>
  <si>
    <t>SECCORD</t>
  </si>
  <si>
    <t>SECOPSCOORD</t>
  </si>
  <si>
    <t>SECPOLCOORD</t>
  </si>
  <si>
    <t>VALSOFTREPO</t>
  </si>
  <si>
    <t>OPSINTECOORD</t>
  </si>
  <si>
    <t>OPS</t>
  </si>
  <si>
    <t>SERVICE CATEGORY</t>
  </si>
  <si>
    <t>SERVICE NAME</t>
  </si>
  <si>
    <t>GRIDOVER</t>
  </si>
  <si>
    <t>FIRST</t>
  </si>
  <si>
    <t>SECOND</t>
  </si>
  <si>
    <t>SLM</t>
  </si>
  <si>
    <t>VAC-STAGED</t>
  </si>
  <si>
    <t>VALACCEPT</t>
  </si>
  <si>
    <t>COLLABTOOLS</t>
  </si>
  <si>
    <t>SUPPMGT</t>
  </si>
  <si>
    <t>Project/Programme Mgmt</t>
  </si>
  <si>
    <t>Specialized Consultancy</t>
  </si>
  <si>
    <t>Market Research/Decision Analysis</t>
  </si>
  <si>
    <t>Technical Consultancy/Support</t>
  </si>
  <si>
    <t>Marketing</t>
  </si>
  <si>
    <t>Governance Body Coordination</t>
  </si>
  <si>
    <t>Governance Support and Consultancy</t>
  </si>
  <si>
    <t>Accounting Repository</t>
  </si>
  <si>
    <t>Applications Database</t>
  </si>
  <si>
    <t>Liaison external sec. org.</t>
  </si>
  <si>
    <t>Service Name</t>
  </si>
  <si>
    <t>Supporting Activity</t>
  </si>
  <si>
    <t>Catch-all Grid Services for small user communities</t>
  </si>
  <si>
    <t>Core technical grid services and integration</t>
  </si>
  <si>
    <t>Effort (PM)</t>
  </si>
  <si>
    <t>Cost (€)</t>
  </si>
  <si>
    <t>Funding Source (Membership; Project; In Kind; Direct Charge; Other)</t>
  </si>
  <si>
    <t>CRI</t>
  </si>
  <si>
    <t>Supporting Activity Tag</t>
  </si>
  <si>
    <t>VTTF</t>
  </si>
  <si>
    <t>ROADMAP</t>
  </si>
  <si>
    <t>SECMONTOOLS</t>
  </si>
  <si>
    <t>SECINRESP</t>
  </si>
  <si>
    <t>SECTRAIN</t>
  </si>
  <si>
    <t>EXSECORG</t>
  </si>
  <si>
    <t>GOVCON</t>
  </si>
  <si>
    <t>PRJSUPP</t>
  </si>
  <si>
    <t>PDP</t>
  </si>
  <si>
    <t>POLCON</t>
  </si>
  <si>
    <t>SECSUPP</t>
  </si>
  <si>
    <t>EXPOLBOD</t>
  </si>
  <si>
    <t>TECHCON</t>
  </si>
  <si>
    <t>APPPORTSUPP</t>
  </si>
  <si>
    <t>UCC</t>
  </si>
  <si>
    <t>THIRD</t>
  </si>
  <si>
    <t>TICKTRI</t>
  </si>
  <si>
    <t>TICKOVER</t>
  </si>
  <si>
    <t>NETSUPP</t>
  </si>
  <si>
    <t>PROMO</t>
  </si>
  <si>
    <t>WEB</t>
  </si>
  <si>
    <t>COPY</t>
  </si>
  <si>
    <t>CHAMP</t>
  </si>
  <si>
    <t>EVENTMKT</t>
  </si>
  <si>
    <t>EVENTOUT</t>
  </si>
  <si>
    <t>REQGATHTECH</t>
  </si>
  <si>
    <t>REQGATHCOMM</t>
  </si>
  <si>
    <t>SOFTVAL</t>
  </si>
  <si>
    <t>ACCEPTCRI</t>
  </si>
  <si>
    <t>OPSMON</t>
  </si>
  <si>
    <t>RCCERT</t>
  </si>
  <si>
    <t>OPPROBES</t>
  </si>
  <si>
    <t>NO</t>
  </si>
  <si>
    <t>TOTAL</t>
  </si>
  <si>
    <t>Critical</t>
  </si>
  <si>
    <t>SUP</t>
  </si>
  <si>
    <t>FUNDING SOURCE</t>
  </si>
  <si>
    <t>Membership</t>
  </si>
  <si>
    <t>Project</t>
  </si>
  <si>
    <t>In Kind</t>
  </si>
  <si>
    <t>Direct Charge</t>
  </si>
  <si>
    <t>Unification, integration, synchronisation of the people efforts so as to provide unity of action in the pursuit of common goals. It can be either technical and non-technical coordination (e.g. Managers)</t>
  </si>
  <si>
    <t>Carrying out or putting into effect of a plan not directly related to the operation/development of an IT services (e.g., Non-management stafff/personnel)</t>
  </si>
  <si>
    <t>Day-to-day management of an IT Service or system to keep it up and running in its current form</t>
  </si>
  <si>
    <t>Day-to-day activities dedicated to the addition of new functional attributes to an IT service (i.e. new features)</t>
  </si>
  <si>
    <t>Day-to-day activities dedicated to the correction of faults (aka bug fixing) or improvements of non-functional attributes of an IT service (i.e. there will be no visible new features)</t>
  </si>
  <si>
    <t>Collaboration Agreements</t>
  </si>
  <si>
    <t>AGREE</t>
  </si>
  <si>
    <t>ID#</t>
  </si>
  <si>
    <t>MAINT</t>
  </si>
  <si>
    <t>Service Type (MAINT, OPS, DEV, COORD, SUP)</t>
  </si>
  <si>
    <t>Sheet</t>
  </si>
  <si>
    <t>Cost_Breakdown_ActivityandType</t>
  </si>
  <si>
    <t>Action</t>
  </si>
  <si>
    <t>Check column Q to ensure each activity is properly tagged according to the task and work carried out by that partner (task descriptions in column J from PPT do not always match what that partner actually does)</t>
  </si>
  <si>
    <t>GT_Cost_DataSheet_PY2</t>
  </si>
  <si>
    <t>Cross check the activities that have €0 cost with column Q on sheet "GT_Cost_DataSheet_PY2". Re-tag the activity or provide a written alternative to estimate the missing cost (e.g. % split of an activity)</t>
  </si>
  <si>
    <t>Option 2. Send via email the list of cells to be changed and the new value</t>
  </si>
  <si>
    <t xml:space="preserve">Option 1. Modify values in this excel file and change the background color of each modified cell to yellow </t>
  </si>
  <si>
    <t>Option 3. Print it, write changes and deliver the print out to the SPT office</t>
  </si>
  <si>
    <t>How to provide changes (to Sy)</t>
  </si>
  <si>
    <t>Check columns R-V and update the % breakdown (see definitions below)</t>
  </si>
  <si>
    <t>Software Provisioning Infrastructure</t>
  </si>
  <si>
    <t>What is the nature of the activity?</t>
  </si>
  <si>
    <t>Funding Source</t>
  </si>
  <si>
    <t>OTH</t>
  </si>
  <si>
    <t>MEM</t>
  </si>
  <si>
    <t>PRJ</t>
  </si>
  <si>
    <t>INK</t>
  </si>
  <si>
    <t>DIR</t>
  </si>
  <si>
    <t>What is the expected source of funding for the activity?</t>
  </si>
  <si>
    <t>Projects (e.g. regional, EC)</t>
  </si>
  <si>
    <t>Direct payment of services</t>
  </si>
  <si>
    <t>Membership fees paid to EGI.eu</t>
  </si>
  <si>
    <t>Manpower provided in order to perform activity</t>
  </si>
  <si>
    <t>Any other funding source</t>
  </si>
  <si>
    <t>Definitions</t>
  </si>
  <si>
    <t>What is the impact on EGI of not doing the activitiy?</t>
  </si>
  <si>
    <t>Degradation</t>
  </si>
  <si>
    <t>DEG</t>
  </si>
  <si>
    <t>No Growth</t>
  </si>
  <si>
    <t>None</t>
  </si>
  <si>
    <t>NGR</t>
  </si>
  <si>
    <t>If this activity is not done, EGI will end in the short-term  </t>
  </si>
  <si>
    <t>If this activity is not done, EGI will degrade over time</t>
  </si>
  <si>
    <t>If this activity is not done, EGI will not grow or expand in the future</t>
  </si>
  <si>
    <t>If this activity is not done, there will be no impact on EGI (e.g. activity performed by a partner external to EGI, activity not needed)</t>
  </si>
  <si>
    <t>Impact of Not Doing
(Critical, Degradation, No Growth, None)</t>
  </si>
  <si>
    <t>Verification of acceptance criteria</t>
  </si>
  <si>
    <t>STAGED</t>
  </si>
  <si>
    <t>VAC</t>
  </si>
  <si>
    <t>Staged rollout</t>
  </si>
  <si>
    <t>IMPACT COSTS</t>
  </si>
  <si>
    <t>Check the impact relating to your tasks (column G) - definitions can be found below</t>
  </si>
  <si>
    <t>Instructions</t>
  </si>
  <si>
    <t>Activities include the detection and coordination of the diagnosis of problems affecting EGI until their resolution. The daily operation of the infrastructure at RC, RP and EGI.eu level</t>
  </si>
  <si>
    <t>Systematic management of vital knowledge and its associated processes of creating, gathering, organizing, diffusion and use. EGI.eu provides Technical Coordination of this community activity, and connects partners with specialized expertise.</t>
  </si>
  <si>
    <t>Supervision of performance measurement and report generation, verification and distribution of monthly Availability reports (Resource Centre and Resource infrastructure Provider reports), modification of reports in case of problems with the tool infrastructure.</t>
  </si>
  <si>
    <t>Description</t>
  </si>
  <si>
    <t>Coordination of the requirements, assessment, delivery and verification of software technology as it moves into the production infrastructure.</t>
  </si>
  <si>
    <t>Developing and maintaining Security Policy for use by EGI and the NGIs. This EGI Security Policy defines the expected behaviour of NGIs, Sites, Users and other participants, required to facilitate the operation of a secure and trustworthy distributed computing infrastructure. SPG may also provide policy advice on any security matter related to the operation of the EGI infrastructure.</t>
  </si>
  <si>
    <t>Brings together representatives of the various security functions within the EGI to ensure that there is coordination between the operational security, the security policy governing the use of the production infrastructure and the technology providers whose software is used within the production infrastructure</t>
  </si>
  <si>
    <t>The objective of Security Monitoring is to protect the Infrastructure from incidents such as exploitable software vulnerabilities, misuse by authorised users, resource “theft”, etc., while allowing the information, resources and services to remain accessible and productive for its intended users. Through the coordination groups a specifically designed set of tools and services help reduce these incidents and their impact. These comprise monitoring individual resource centres (based on Nagios and Pakiti); a central security dashboard to allow Resource Centres, NGIs and EGI Computer Security Incident Response Teams (CSIRT) to access security alerts in a controlled manner; and a specific ticketing system to support coordination efforts.</t>
  </si>
  <si>
    <t>Advise and recommend on security matters and have the power to suspend sites from the infrastructure if they fail to apply critical security patches. The team ensures both the coordination with peer Grids and with the NGIs and NREN CSIRTs. It acts as a forum to combine efforts and resources from the Resource infrastructure Providers in different areas, including Grid security monitoring, Security training and dissemination, and improvements in responses to incidents.</t>
  </si>
  <si>
    <t>Rises security awareness among Grid users and Grid Resource Providers and act as a a collection point for best practices, tutorials and trainings both internal and external to the EGI-InSPIRE project</t>
  </si>
  <si>
    <t>The European Policy Management Authority for Grid Authentication and the International Grid Trust Federation - IGTF at the global level, coordinate the trust fabric for e-Science authentication in Europe. EUGridPMA establish common policies and guidelines for authentication management authorities that provide identity assertions to people, network systems and services for use in the e-Infrastructure. Participation by EGI and EGI-InSPIRE in sustaining and evolving the global trust fabric ensures continued interoperability, both at the European as well as the global scale, and it will aid the adoption of EGI authentication and security requirements at the global level.</t>
  </si>
  <si>
    <t>The wider e-Infrastructure community, whether directly or indirectly involved with EGI, benefits from informed decisions being taken. A range of actors rely on insight and data to support both strategic and tactical decision-making. This includes EGI management trying to make informed decisions, a site administrator looking to understand the impact of developments on the infrastructure, technology providers looking for new opportunities, and project managers reviewing product roadmaps. All levels of the EGI ecosystem and partners trust EGI.eu to better understand the environment in which they operate.</t>
  </si>
  <si>
    <t>Lead, develop and support the formulation of policies and procedures through EGI policy groups.</t>
  </si>
  <si>
    <t>Work with resource providers for potential policy integration or modification. Liaise with industry for specific polices that need to be established or modified for providing services or integrating services.</t>
  </si>
  <si>
    <t>EGI provides support to users and operators through a distributed incident management tool with central coordination (GGUS). This tool provides a single interface for the submission of incident records and requests for change. The central system is interfaced to a variety of other incident management systems at the NGI level in order to allow a bi-directional exchange of incident records.</t>
  </si>
  <si>
    <t>The Ticket triage and assignment Unit is handling the timely assignment of GGUS tickets to the appropriate Support Units.</t>
  </si>
  <si>
    <t>The initial support level responsible for basic customer issues.</t>
  </si>
  <si>
    <t>In-depth technical support level for handling the problems which cannot be solved by 1st Level Support.</t>
  </si>
  <si>
    <t>Technical support responsible for handling the most difficult or advanced problems which cannot be solved by 2nd Level Support.</t>
  </si>
  <si>
    <t>The Ticket oversight and followup Unit if responsible for notifying supporters   when the reaction to high-priority tickets is not fast enough, requesting information from ticket submitters when they do not react, ensuring assigners/resolvers will react sufficiently fast when the submitter provides additional information.</t>
  </si>
  <si>
    <t>Network monitoring tools development</t>
  </si>
  <si>
    <t>Network troubleshooting</t>
  </si>
  <si>
    <t>Liaising with other projects, organisations and industry to establish collaboration agreements or business opportunties</t>
  </si>
  <si>
    <t>The supplier management process ensures that suppliers and the services they provide are managed to support IT service targets and business expectations.</t>
  </si>
  <si>
    <t>Deployed software updates need to be gradually adopted in production after internal verification. This process is implemented in EGI through staged rollout, i.e. through the incremental deployment of a new component by a selected list of candidate Resource Centres.</t>
  </si>
  <si>
    <t>Based on the prioritised requirements obtained from the operations and 
end-user communities, software acceptance criteria are defined to 
capture the key functional and non-functional features expected from the
 delivered technologies.</t>
  </si>
  <si>
    <t>Central portal for the operations community offers a bundle of different capabilities, such as the broadcast tool, VO management facilities, and a dashboard for Grid operators that is used to display information about failing monitoring probes and to open tickets to the Resource Centres affected. The dashboard also supports the central Grid oversight activities.</t>
  </si>
  <si>
    <t>The EGI Accounting Infrastructure is distributed. At a central level it includes the repositories for the persistent storage of usage records, and a portal for the visualisation of accounting information. The central databases are populated through individual usage records published by the Resource Centres, or through the publication of summarised usage records.</t>
  </si>
  <si>
    <t>Split from Accounting Portal</t>
  </si>
  <si>
    <t>The Metrics Portal displays a set of metrics that will be used to 
monitor the performance of the infrastructure and the project, and to 
track their changes over time. The portal automatically collects all the
 required data and calculates these metrics before displaying them in 
the portal.</t>
  </si>
  <si>
    <t>EGI relies on a central database (GOCDB) to record static information about different entities such as the Operations Centres, the Resource Centres, and the service instances. It also provides contact, role and status information. GOCDB is a source of information for many other operational tools.</t>
  </si>
  <si>
    <t>The Grid Services for Resource Centre certification are used for the certification of Resource Centres as this is specified in the EGI Resource Centre Registration and Certification Procedure.</t>
  </si>
  <si>
    <t>Core Grid services are needed for the authentication of end-users, to allow access to individual RC Grid services, and in some cases to support the running of Infrastructure Services. Examples of such services are VOMS, VO management of infrastructure VOs (DTEAM, OPS); the provisioning of middleware services needed by the monitoring infrastructure (e.g. top-BDII and WMS); the catch-all CA; and other catch-all core Grid services to support small user communities (central catalogues, workflow schedulers, authentication services).</t>
  </si>
  <si>
    <t>EGI provides a network of brokers, as a messaging common infrastructure for operational tools.</t>
  </si>
  <si>
    <t>Add or revise a short description of the supporting activity (this is very important to let external people to understand what the activity and cost is about)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</si>
</sst>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_-* #,##0.00\ _€_-;\-* #,##0.00\ _€_-;_-* &quot;-&quot;??\ _€_-;_-@_-"/>
    <numFmt numFmtId="166" formatCode="_-* #,##0.00\ &quot;€&quot;_-;\-* #,##0.00\ &quot;€&quot;_-;_-* &quot;-&quot;??\ &quot;€&quot;_-;_-@_-"/>
    <numFmt numFmtId="167" formatCode="[$-40C]General"/>
    <numFmt numFmtId="168" formatCode="&quot;€&quot;#,##0"/>
    <numFmt numFmtId="169" formatCode="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rgb="FF0000FF"/>
      <name val="Calibri"/>
      <family val="2"/>
      <scheme val="minor"/>
    </font>
    <font>
      <b/>
      <sz val="10"/>
      <name val="Arial"/>
      <family val="2"/>
    </font>
    <font>
      <sz val="9"/>
      <name val="Arial"/>
      <family val="2"/>
    </font>
    <font>
      <sz val="8"/>
      <name val="Arial"/>
      <family val="2"/>
    </font>
    <font>
      <i/>
      <sz val="9"/>
      <name val="Arial"/>
      <family val="2"/>
    </font>
    <font>
      <b/>
      <sz val="9"/>
      <color rgb="FFFF0000"/>
      <name val="Arial"/>
      <family val="2"/>
    </font>
    <font>
      <b/>
      <sz val="14"/>
      <color theme="1"/>
      <name val="Calibri"/>
      <family val="2"/>
      <scheme val="minor"/>
    </font>
    <font>
      <b/>
      <sz val="8"/>
      <color indexed="81"/>
      <name val="Tahoma"/>
      <family val="2"/>
    </font>
    <font>
      <sz val="8"/>
      <color indexed="81"/>
      <name val="Tahoma"/>
      <family val="2"/>
    </font>
    <font>
      <sz val="11"/>
      <color rgb="FF000000"/>
      <name val="Calibri"/>
      <family val="2"/>
    </font>
    <font>
      <u/>
      <sz val="10"/>
      <color indexed="12"/>
      <name val="Arial"/>
      <family val="2"/>
    </font>
    <font>
      <u/>
      <sz val="11"/>
      <color theme="10"/>
      <name val="Calibri"/>
      <family val="2"/>
    </font>
    <font>
      <sz val="10"/>
      <name val="Arial"/>
      <family val="2"/>
    </font>
    <font>
      <sz val="10"/>
      <name val="Arial CE"/>
      <charset val="238"/>
    </font>
    <font>
      <sz val="11"/>
      <color indexed="8"/>
      <name val="Calibri"/>
      <family val="2"/>
    </font>
    <font>
      <u/>
      <sz val="10"/>
      <color rgb="FF0000FF"/>
      <name val="Arial"/>
      <family val="2"/>
    </font>
    <font>
      <i/>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b/>
      <u/>
      <sz val="12"/>
      <color theme="1"/>
      <name val="Calibri"/>
      <scheme val="minor"/>
    </font>
    <font>
      <b/>
      <u/>
      <sz val="14"/>
      <color theme="1"/>
      <name val="Calibri"/>
      <scheme val="minor"/>
    </font>
    <font>
      <sz val="11"/>
      <color rgb="FFFFFFFF"/>
      <name val="Calibri"/>
      <scheme val="minor"/>
    </font>
    <font>
      <sz val="11"/>
      <name val="Calibri"/>
      <scheme val="minor"/>
    </font>
    <font>
      <b/>
      <sz val="11"/>
      <name val="Calibri"/>
      <scheme val="minor"/>
    </font>
    <font>
      <b/>
      <sz val="12"/>
      <color theme="4" tint="-0.499984740745262"/>
      <name val="Calibri"/>
      <scheme val="minor"/>
    </font>
    <font>
      <b/>
      <sz val="12"/>
      <color theme="5" tint="-0.249977111117893"/>
      <name val="Calibri"/>
      <scheme val="minor"/>
    </font>
    <font>
      <sz val="11"/>
      <color theme="5" tint="-0.249977111117893"/>
      <name val="Calibri"/>
      <scheme val="minor"/>
    </font>
    <font>
      <b/>
      <sz val="12"/>
      <color theme="1"/>
      <name val="Calibri"/>
      <family val="2"/>
      <scheme val="minor"/>
    </font>
    <font>
      <sz val="14"/>
      <color theme="1"/>
      <name val="Calibri"/>
      <scheme val="minor"/>
    </font>
    <font>
      <b/>
      <sz val="16"/>
      <color theme="4" tint="-0.499984740745262"/>
      <name val="Calibri"/>
      <scheme val="minor"/>
    </font>
    <font>
      <sz val="14"/>
      <color theme="5" tint="-0.249977111117893"/>
      <name val="Calibri"/>
      <scheme val="minor"/>
    </font>
    <font>
      <sz val="9"/>
      <color theme="5" tint="-0.249977111117893"/>
      <name val="Arial"/>
    </font>
    <font>
      <b/>
      <sz val="11"/>
      <color theme="5" tint="-0.249977111117893"/>
      <name val="Calibri"/>
      <family val="2"/>
      <scheme val="minor"/>
    </font>
    <font>
      <sz val="11"/>
      <color rgb="FF963634"/>
      <name val="Calibri"/>
      <scheme val="minor"/>
    </font>
    <font>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660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s>
  <cellStyleXfs count="1480">
    <xf numFmtId="0" fontId="0" fillId="0" borderId="0"/>
    <xf numFmtId="0" fontId="3" fillId="0" borderId="0"/>
    <xf numFmtId="0" fontId="3" fillId="0" borderId="0"/>
    <xf numFmtId="165"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3"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13" fillId="0" borderId="0"/>
    <xf numFmtId="0" fontId="3" fillId="0" borderId="0"/>
    <xf numFmtId="0" fontId="16" fillId="0" borderId="0"/>
    <xf numFmtId="0" fontId="17" fillId="0" borderId="0"/>
    <xf numFmtId="9" fontId="18" fillId="0" borderId="0" applyFont="0" applyFill="0" applyBorder="0" applyAlignment="0" applyProtection="0"/>
    <xf numFmtId="9" fontId="3" fillId="0" borderId="0" applyFont="0" applyFill="0" applyBorder="0" applyAlignment="0" applyProtection="0"/>
    <xf numFmtId="0" fontId="19"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99">
    <xf numFmtId="0" fontId="0" fillId="0" borderId="0" xfId="0"/>
    <xf numFmtId="0" fontId="4" fillId="0" borderId="1" xfId="1" applyFont="1" applyBorder="1" applyAlignment="1">
      <alignment horizontal="center" vertical="center" wrapText="1"/>
    </xf>
    <xf numFmtId="43" fontId="3" fillId="0" borderId="1" xfId="1" applyNumberFormat="1" applyFont="1" applyFill="1" applyBorder="1" applyAlignment="1">
      <alignment horizontal="center" vertical="center"/>
    </xf>
    <xf numFmtId="43" fontId="5" fillId="0" borderId="1" xfId="1" applyNumberFormat="1" applyFont="1" applyFill="1" applyBorder="1" applyAlignment="1">
      <alignment vertical="center"/>
    </xf>
    <xf numFmtId="0" fontId="6" fillId="0" borderId="1" xfId="1" applyFont="1" applyFill="1" applyBorder="1" applyAlignment="1">
      <alignment vertical="center" wrapText="1"/>
    </xf>
    <xf numFmtId="9" fontId="5" fillId="0" borderId="1" xfId="1" applyNumberFormat="1" applyFont="1" applyFill="1" applyBorder="1" applyAlignment="1">
      <alignment horizontal="center" vertical="center" wrapText="1"/>
    </xf>
    <xf numFmtId="43" fontId="5" fillId="0" borderId="1" xfId="1" applyNumberFormat="1" applyFont="1" applyFill="1" applyBorder="1" applyAlignment="1">
      <alignment vertical="center" wrapText="1"/>
    </xf>
    <xf numFmtId="0" fontId="4" fillId="0" borderId="1" xfId="1" applyFont="1" applyFill="1" applyBorder="1" applyAlignment="1">
      <alignment horizontal="left" vertical="center" wrapText="1"/>
    </xf>
    <xf numFmtId="0" fontId="8" fillId="0" borderId="1" xfId="1" applyFont="1" applyFill="1" applyBorder="1" applyAlignment="1">
      <alignment vertical="center" wrapText="1"/>
    </xf>
    <xf numFmtId="0" fontId="2" fillId="0" borderId="0" xfId="0" applyFont="1"/>
    <xf numFmtId="0" fontId="0" fillId="0" borderId="0" xfId="0" applyAlignment="1">
      <alignment horizontal="left" indent="1"/>
    </xf>
    <xf numFmtId="0" fontId="0" fillId="0" borderId="0" xfId="0" applyAlignment="1">
      <alignment shrinkToFit="1"/>
    </xf>
    <xf numFmtId="0" fontId="0" fillId="0" borderId="0" xfId="0" applyAlignment="1">
      <alignment horizontal="left" indent="2"/>
    </xf>
    <xf numFmtId="0" fontId="0" fillId="0" borderId="0" xfId="0" applyAlignment="1">
      <alignment horizontal="left" indent="3"/>
    </xf>
    <xf numFmtId="0" fontId="2" fillId="0" borderId="0" xfId="0" applyFont="1" applyAlignment="1">
      <alignment shrinkToFit="1"/>
    </xf>
    <xf numFmtId="0" fontId="10" fillId="0" borderId="0" xfId="0" applyFont="1" applyAlignment="1">
      <alignment horizontal="left"/>
    </xf>
    <xf numFmtId="0" fontId="0" fillId="0" borderId="0" xfId="0" applyAlignment="1">
      <alignment horizontal="left"/>
    </xf>
    <xf numFmtId="0" fontId="0" fillId="0" borderId="0" xfId="0" applyFont="1"/>
    <xf numFmtId="0" fontId="21" fillId="0" borderId="1" xfId="1" applyFont="1" applyFill="1" applyBorder="1" applyAlignment="1">
      <alignment horizontal="center" vertical="center" wrapText="1"/>
    </xf>
    <xf numFmtId="0" fontId="0" fillId="0" borderId="0" xfId="0" applyBorder="1" applyAlignment="1">
      <alignment horizontal="left" indent="2"/>
    </xf>
    <xf numFmtId="0" fontId="0" fillId="0" borderId="0" xfId="0" applyBorder="1"/>
    <xf numFmtId="0" fontId="0" fillId="0" borderId="0" xfId="0" applyBorder="1" applyAlignment="1">
      <alignment shrinkToFit="1"/>
    </xf>
    <xf numFmtId="0" fontId="0" fillId="3" borderId="0" xfId="0" applyFill="1" applyBorder="1"/>
    <xf numFmtId="0" fontId="24" fillId="3" borderId="0" xfId="0" applyFont="1" applyFill="1" applyBorder="1" applyAlignment="1">
      <alignment horizontal="center"/>
    </xf>
    <xf numFmtId="0" fontId="0" fillId="0" borderId="0" xfId="0" applyFill="1"/>
    <xf numFmtId="0" fontId="2" fillId="0" borderId="0" xfId="0" applyFont="1" applyBorder="1"/>
    <xf numFmtId="0" fontId="0" fillId="3" borderId="0" xfId="0" applyFont="1" applyFill="1" applyBorder="1"/>
    <xf numFmtId="168" fontId="2" fillId="3" borderId="0" xfId="0" applyNumberFormat="1" applyFont="1" applyFill="1" applyBorder="1" applyAlignment="1">
      <alignment horizontal="center" vertical="center"/>
    </xf>
    <xf numFmtId="0" fontId="0" fillId="0" borderId="0" xfId="0" applyBorder="1" applyAlignment="1">
      <alignment horizontal="left" indent="1"/>
    </xf>
    <xf numFmtId="169" fontId="2" fillId="3" borderId="0" xfId="0" applyNumberFormat="1" applyFont="1" applyFill="1" applyBorder="1" applyAlignment="1">
      <alignment horizontal="center" vertical="center"/>
    </xf>
    <xf numFmtId="169" fontId="24" fillId="3" borderId="0" xfId="0" applyNumberFormat="1" applyFont="1" applyFill="1" applyBorder="1" applyAlignment="1">
      <alignment horizontal="center"/>
    </xf>
    <xf numFmtId="168" fontId="24" fillId="3" borderId="0" xfId="0" applyNumberFormat="1" applyFont="1" applyFill="1" applyBorder="1" applyAlignment="1">
      <alignment horizontal="center"/>
    </xf>
    <xf numFmtId="164" fontId="0" fillId="0" borderId="0" xfId="0" applyNumberFormat="1" applyFill="1"/>
    <xf numFmtId="168" fontId="2" fillId="0" borderId="0" xfId="0" applyNumberFormat="1" applyFont="1"/>
    <xf numFmtId="0" fontId="2" fillId="0" borderId="0" xfId="0" applyFont="1" applyFill="1"/>
    <xf numFmtId="168" fontId="0" fillId="0" borderId="0" xfId="0" applyNumberFormat="1" applyFont="1"/>
    <xf numFmtId="169" fontId="24" fillId="0" borderId="0" xfId="0" applyNumberFormat="1" applyFont="1" applyFill="1" applyBorder="1" applyAlignment="1">
      <alignment horizontal="center"/>
    </xf>
    <xf numFmtId="168" fontId="10" fillId="0" borderId="4" xfId="0" applyNumberFormat="1" applyFont="1" applyFill="1" applyBorder="1" applyAlignment="1">
      <alignment horizontal="center" vertical="center"/>
    </xf>
    <xf numFmtId="168" fontId="10" fillId="0" borderId="5" xfId="0" applyNumberFormat="1" applyFont="1" applyFill="1" applyBorder="1" applyAlignment="1">
      <alignment horizontal="center" vertical="center"/>
    </xf>
    <xf numFmtId="169" fontId="25" fillId="0" borderId="3" xfId="0" applyNumberFormat="1" applyFont="1" applyFill="1" applyBorder="1" applyAlignment="1">
      <alignment horizontal="center"/>
    </xf>
    <xf numFmtId="0" fontId="24" fillId="2" borderId="0" xfId="0" applyFont="1" applyFill="1" applyBorder="1" applyAlignment="1">
      <alignment horizontal="center"/>
    </xf>
    <xf numFmtId="168" fontId="2" fillId="2" borderId="0" xfId="0" applyNumberFormat="1" applyFont="1" applyFill="1" applyBorder="1" applyAlignment="1">
      <alignment horizontal="center" vertical="center"/>
    </xf>
    <xf numFmtId="168" fontId="0" fillId="0" borderId="0" xfId="0" applyNumberFormat="1" applyFill="1"/>
    <xf numFmtId="0" fontId="3" fillId="0" borderId="1" xfId="1" applyNumberFormat="1" applyFont="1" applyFill="1" applyBorder="1" applyAlignment="1">
      <alignment horizontal="center" vertical="center" wrapText="1"/>
    </xf>
    <xf numFmtId="168" fontId="2" fillId="0" borderId="0" xfId="0" applyNumberFormat="1" applyFont="1" applyFill="1"/>
    <xf numFmtId="0" fontId="4" fillId="0" borderId="2" xfId="1" applyFont="1" applyFill="1" applyBorder="1" applyAlignment="1">
      <alignment vertical="center" wrapText="1"/>
    </xf>
    <xf numFmtId="0" fontId="5" fillId="0" borderId="1" xfId="1" applyFont="1" applyFill="1" applyBorder="1" applyAlignment="1">
      <alignment horizontal="left" vertical="center"/>
    </xf>
    <xf numFmtId="0" fontId="5" fillId="0" borderId="1" xfId="1" applyFont="1" applyFill="1" applyBorder="1" applyAlignment="1">
      <alignment vertical="center" shrinkToFit="1"/>
    </xf>
    <xf numFmtId="43" fontId="1" fillId="0" borderId="1" xfId="1" applyNumberFormat="1" applyFont="1" applyFill="1" applyBorder="1" applyAlignment="1">
      <alignment vertical="center"/>
    </xf>
    <xf numFmtId="43" fontId="0" fillId="0" borderId="1" xfId="0" applyNumberFormat="1" applyFont="1" applyFill="1" applyBorder="1"/>
    <xf numFmtId="43" fontId="2" fillId="0" borderId="1" xfId="0" applyNumberFormat="1" applyFont="1" applyFill="1" applyBorder="1"/>
    <xf numFmtId="43" fontId="0" fillId="0" borderId="0" xfId="0" applyNumberFormat="1" applyFill="1"/>
    <xf numFmtId="43" fontId="20" fillId="0" borderId="1" xfId="1" applyNumberFormat="1" applyFont="1" applyFill="1" applyBorder="1" applyAlignment="1">
      <alignment vertical="center"/>
    </xf>
    <xf numFmtId="43" fontId="18" fillId="0" borderId="1" xfId="1" applyNumberFormat="1" applyFont="1" applyFill="1" applyBorder="1" applyAlignment="1">
      <alignment vertical="center"/>
    </xf>
    <xf numFmtId="0" fontId="2" fillId="3" borderId="0" xfId="0" applyFont="1" applyFill="1" applyBorder="1" applyAlignment="1">
      <alignment horizontal="center" vertical="center"/>
    </xf>
    <xf numFmtId="168" fontId="0" fillId="0" borderId="0" xfId="0" applyNumberFormat="1"/>
    <xf numFmtId="0" fontId="26" fillId="0" borderId="0" xfId="0" applyFont="1"/>
    <xf numFmtId="169" fontId="0" fillId="0" borderId="0" xfId="0" applyNumberFormat="1"/>
    <xf numFmtId="0" fontId="4" fillId="0" borderId="1" xfId="1" applyFont="1" applyFill="1" applyBorder="1" applyAlignment="1">
      <alignment vertical="center" wrapText="1"/>
    </xf>
    <xf numFmtId="43" fontId="1" fillId="0" borderId="2" xfId="1" applyNumberFormat="1" applyFont="1" applyFill="1" applyBorder="1" applyAlignment="1">
      <alignment vertical="center"/>
    </xf>
    <xf numFmtId="0" fontId="4" fillId="4" borderId="2" xfId="1" applyFont="1" applyFill="1" applyBorder="1" applyAlignment="1">
      <alignment vertical="center" wrapText="1"/>
    </xf>
    <xf numFmtId="0" fontId="5" fillId="4" borderId="1" xfId="1" applyFont="1" applyFill="1" applyBorder="1" applyAlignment="1">
      <alignment horizontal="left" vertical="center"/>
    </xf>
    <xf numFmtId="0" fontId="5" fillId="4" borderId="1" xfId="1" applyFont="1" applyFill="1" applyBorder="1" applyAlignment="1">
      <alignment vertical="center" shrinkToFit="1"/>
    </xf>
    <xf numFmtId="43" fontId="5" fillId="4" borderId="1" xfId="1" applyNumberFormat="1" applyFont="1" applyFill="1" applyBorder="1" applyAlignment="1">
      <alignment vertical="center"/>
    </xf>
    <xf numFmtId="0" fontId="6" fillId="4" borderId="1" xfId="1" applyFont="1" applyFill="1" applyBorder="1" applyAlignment="1">
      <alignment vertical="center" wrapText="1"/>
    </xf>
    <xf numFmtId="9" fontId="5" fillId="4" borderId="1" xfId="1" applyNumberFormat="1" applyFont="1" applyFill="1" applyBorder="1" applyAlignment="1">
      <alignment horizontal="center" vertical="center" wrapText="1"/>
    </xf>
    <xf numFmtId="0" fontId="4" fillId="4" borderId="1" xfId="1" applyFont="1" applyFill="1" applyBorder="1" applyAlignment="1">
      <alignment horizontal="left" vertical="center" wrapText="1"/>
    </xf>
    <xf numFmtId="43" fontId="1" fillId="4" borderId="1" xfId="1" applyNumberFormat="1" applyFont="1" applyFill="1" applyBorder="1" applyAlignment="1">
      <alignment vertical="center"/>
    </xf>
    <xf numFmtId="43" fontId="0" fillId="4" borderId="1" xfId="0" applyNumberFormat="1" applyFont="1" applyFill="1" applyBorder="1"/>
    <xf numFmtId="43" fontId="2" fillId="4" borderId="1" xfId="0" applyNumberFormat="1" applyFont="1" applyFill="1" applyBorder="1"/>
    <xf numFmtId="43" fontId="0" fillId="4" borderId="0" xfId="0" applyNumberFormat="1" applyFill="1"/>
    <xf numFmtId="0" fontId="8" fillId="4" borderId="1" xfId="1" applyFont="1" applyFill="1" applyBorder="1" applyAlignment="1">
      <alignment vertical="center" wrapText="1"/>
    </xf>
    <xf numFmtId="0" fontId="4" fillId="5" borderId="2" xfId="1" applyFont="1" applyFill="1" applyBorder="1" applyAlignment="1">
      <alignment vertical="center" wrapText="1"/>
    </xf>
    <xf numFmtId="0" fontId="5" fillId="5" borderId="1" xfId="1" applyFont="1" applyFill="1" applyBorder="1" applyAlignment="1">
      <alignment horizontal="left" vertical="center"/>
    </xf>
    <xf numFmtId="0" fontId="5" fillId="5" borderId="1" xfId="1" applyFont="1" applyFill="1" applyBorder="1" applyAlignment="1">
      <alignment vertical="center" shrinkToFit="1"/>
    </xf>
    <xf numFmtId="43" fontId="5" fillId="5" borderId="1" xfId="1" applyNumberFormat="1" applyFont="1" applyFill="1" applyBorder="1" applyAlignment="1">
      <alignment vertical="center"/>
    </xf>
    <xf numFmtId="0" fontId="6" fillId="5" borderId="1" xfId="1" applyFont="1" applyFill="1" applyBorder="1" applyAlignment="1">
      <alignment vertical="center" wrapText="1"/>
    </xf>
    <xf numFmtId="9" fontId="5" fillId="5" borderId="1" xfId="1" applyNumberFormat="1" applyFont="1" applyFill="1" applyBorder="1" applyAlignment="1">
      <alignment horizontal="center" vertical="center" wrapText="1"/>
    </xf>
    <xf numFmtId="0" fontId="4" fillId="5" borderId="1" xfId="1" applyFont="1" applyFill="1" applyBorder="1" applyAlignment="1">
      <alignment horizontal="left" vertical="center" wrapText="1"/>
    </xf>
    <xf numFmtId="43" fontId="1" fillId="5" borderId="1" xfId="1" applyNumberFormat="1" applyFont="1" applyFill="1" applyBorder="1" applyAlignment="1">
      <alignment vertical="center"/>
    </xf>
    <xf numFmtId="43" fontId="0" fillId="5" borderId="1" xfId="0" applyNumberFormat="1" applyFont="1" applyFill="1" applyBorder="1"/>
    <xf numFmtId="43" fontId="2" fillId="5" borderId="1" xfId="0" applyNumberFormat="1" applyFont="1" applyFill="1" applyBorder="1"/>
    <xf numFmtId="43" fontId="0" fillId="5" borderId="0" xfId="0" applyNumberFormat="1" applyFill="1"/>
    <xf numFmtId="0" fontId="10" fillId="0" borderId="0" xfId="0" applyFont="1" applyFill="1"/>
    <xf numFmtId="0" fontId="7" fillId="0" borderId="1" xfId="1" applyFont="1" applyFill="1" applyBorder="1" applyAlignment="1">
      <alignment horizontal="left" vertical="center"/>
    </xf>
    <xf numFmtId="0" fontId="6" fillId="0" borderId="1" xfId="1" applyFont="1" applyFill="1" applyBorder="1" applyAlignment="1">
      <alignment horizontal="left" vertical="center"/>
    </xf>
    <xf numFmtId="43" fontId="27" fillId="0" borderId="1" xfId="1" applyNumberFormat="1" applyFont="1" applyFill="1" applyBorder="1" applyAlignment="1">
      <alignment vertical="center"/>
    </xf>
    <xf numFmtId="43" fontId="5" fillId="5" borderId="1" xfId="1" applyNumberFormat="1" applyFont="1" applyFill="1" applyBorder="1" applyAlignment="1">
      <alignment vertical="center" wrapText="1"/>
    </xf>
    <xf numFmtId="0" fontId="8" fillId="5" borderId="1" xfId="1" applyFont="1" applyFill="1" applyBorder="1" applyAlignment="1">
      <alignment vertical="center" wrapText="1"/>
    </xf>
    <xf numFmtId="43" fontId="27" fillId="4" borderId="1" xfId="1" applyNumberFormat="1" applyFont="1" applyFill="1" applyBorder="1" applyAlignment="1">
      <alignment vertical="center"/>
    </xf>
    <xf numFmtId="43" fontId="27" fillId="5" borderId="1" xfId="1" applyNumberFormat="1" applyFont="1" applyFill="1" applyBorder="1" applyAlignment="1">
      <alignment vertical="center"/>
    </xf>
    <xf numFmtId="43" fontId="27" fillId="0" borderId="2" xfId="1" applyNumberFormat="1" applyFont="1" applyFill="1" applyBorder="1" applyAlignment="1">
      <alignment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7" fillId="0" borderId="0" xfId="0" applyFont="1" applyFill="1" applyBorder="1"/>
    <xf numFmtId="169" fontId="28" fillId="0" borderId="0" xfId="0" applyNumberFormat="1" applyFont="1" applyFill="1" applyBorder="1" applyAlignment="1">
      <alignment horizontal="center" vertical="center"/>
    </xf>
    <xf numFmtId="168" fontId="28" fillId="0" borderId="0" xfId="0" applyNumberFormat="1" applyFont="1" applyFill="1" applyBorder="1" applyAlignment="1">
      <alignment horizontal="center" vertical="center"/>
    </xf>
    <xf numFmtId="168" fontId="28" fillId="0" borderId="0" xfId="0" applyNumberFormat="1" applyFont="1" applyFill="1"/>
    <xf numFmtId="0" fontId="28" fillId="0" borderId="0" xfId="0" applyFont="1" applyFill="1"/>
    <xf numFmtId="0" fontId="0" fillId="0" borderId="0" xfId="0" applyFill="1" applyAlignment="1">
      <alignment horizontal="left" indent="1"/>
    </xf>
    <xf numFmtId="0" fontId="0" fillId="0" borderId="0" xfId="0" applyFill="1" applyAlignment="1">
      <alignment shrinkToFit="1"/>
    </xf>
    <xf numFmtId="0" fontId="0" fillId="0" borderId="0" xfId="0" applyFill="1" applyAlignment="1">
      <alignment horizontal="left" indent="3"/>
    </xf>
    <xf numFmtId="0" fontId="0" fillId="0" borderId="0" xfId="0" applyFill="1" applyAlignment="1">
      <alignment horizontal="left" indent="2"/>
    </xf>
    <xf numFmtId="0" fontId="2" fillId="0" borderId="0" xfId="0" applyFont="1" applyFill="1" applyAlignment="1">
      <alignment shrinkToFit="1"/>
    </xf>
    <xf numFmtId="0" fontId="10" fillId="0" borderId="0" xfId="0" applyFont="1" applyFill="1" applyAlignment="1">
      <alignment horizontal="left"/>
    </xf>
    <xf numFmtId="0" fontId="2" fillId="3" borderId="0" xfId="0" applyFont="1" applyFill="1" applyBorder="1"/>
    <xf numFmtId="168" fontId="24" fillId="0" borderId="0" xfId="0" applyNumberFormat="1" applyFont="1" applyAlignment="1">
      <alignment horizontal="center"/>
    </xf>
    <xf numFmtId="168" fontId="24" fillId="3" borderId="0" xfId="0" applyNumberFormat="1" applyFont="1" applyFill="1" applyBorder="1" applyAlignment="1">
      <alignment horizontal="center" vertical="center"/>
    </xf>
    <xf numFmtId="168" fontId="2" fillId="0" borderId="0" xfId="0" applyNumberFormat="1" applyFont="1" applyFill="1" applyBorder="1" applyAlignment="1">
      <alignment horizontal="center" vertical="center"/>
    </xf>
    <xf numFmtId="168" fontId="2" fillId="0" borderId="0" xfId="0" applyNumberFormat="1" applyFont="1" applyAlignment="1">
      <alignment horizontal="center"/>
    </xf>
    <xf numFmtId="9" fontId="2" fillId="0" borderId="0" xfId="0" applyNumberFormat="1" applyFont="1" applyAlignment="1">
      <alignment horizontal="center"/>
    </xf>
    <xf numFmtId="0" fontId="0" fillId="0" borderId="0" xfId="0" applyFill="1" applyBorder="1"/>
    <xf numFmtId="0" fontId="24" fillId="0" borderId="0" xfId="0" applyFont="1" applyFill="1" applyBorder="1" applyAlignment="1">
      <alignment horizontal="center"/>
    </xf>
    <xf numFmtId="168" fontId="0" fillId="0" borderId="0" xfId="0" applyNumberFormat="1" applyFont="1" applyFill="1"/>
    <xf numFmtId="169" fontId="25" fillId="0" borderId="0" xfId="0" applyNumberFormat="1" applyFont="1" applyFill="1" applyBorder="1" applyAlignment="1">
      <alignment horizontal="center"/>
    </xf>
    <xf numFmtId="168" fontId="10" fillId="0" borderId="0" xfId="0" applyNumberFormat="1" applyFont="1" applyFill="1" applyBorder="1" applyAlignment="1">
      <alignment horizontal="center" vertical="center"/>
    </xf>
    <xf numFmtId="0" fontId="29" fillId="0" borderId="0" xfId="0" applyFont="1"/>
    <xf numFmtId="0" fontId="0" fillId="0" borderId="0" xfId="0" applyFill="1" applyBorder="1" applyAlignment="1">
      <alignment vertical="top" wrapText="1"/>
    </xf>
    <xf numFmtId="0" fontId="31" fillId="0" borderId="0" xfId="0" applyFont="1" applyFill="1"/>
    <xf numFmtId="0" fontId="0" fillId="0" borderId="0" xfId="0" applyFill="1" applyBorder="1" applyAlignment="1">
      <alignment horizontal="center"/>
    </xf>
    <xf numFmtId="0" fontId="0" fillId="0" borderId="0" xfId="0" applyFill="1" applyAlignment="1">
      <alignment horizontal="center"/>
    </xf>
    <xf numFmtId="0" fontId="31" fillId="0" borderId="0" xfId="0" applyFont="1" applyFill="1" applyBorder="1" applyAlignment="1">
      <alignment horizontal="center"/>
    </xf>
    <xf numFmtId="0" fontId="31" fillId="0" borderId="0" xfId="0" applyFont="1" applyFill="1" applyAlignment="1">
      <alignment horizontal="center"/>
    </xf>
    <xf numFmtId="169" fontId="0" fillId="0" borderId="0" xfId="0" applyNumberFormat="1" applyFill="1" applyBorder="1" applyAlignment="1">
      <alignment horizontal="center" vertical="center"/>
    </xf>
    <xf numFmtId="43" fontId="18" fillId="0" borderId="2" xfId="1" applyNumberFormat="1" applyFont="1" applyFill="1" applyBorder="1" applyAlignment="1">
      <alignment vertical="center"/>
    </xf>
    <xf numFmtId="169" fontId="32" fillId="0" borderId="0" xfId="0" applyNumberFormat="1" applyFont="1" applyFill="1" applyBorder="1" applyAlignment="1">
      <alignment horizontal="center"/>
    </xf>
    <xf numFmtId="168" fontId="32" fillId="0" borderId="0" xfId="0" applyNumberFormat="1" applyFont="1" applyFill="1" applyBorder="1" applyAlignment="1">
      <alignment horizontal="center"/>
    </xf>
    <xf numFmtId="0" fontId="33" fillId="0" borderId="12" xfId="0" applyFont="1" applyBorder="1"/>
    <xf numFmtId="0" fontId="33" fillId="0" borderId="9" xfId="0" applyFont="1" applyBorder="1"/>
    <xf numFmtId="0" fontId="33" fillId="0" borderId="0" xfId="0" applyFont="1"/>
    <xf numFmtId="0" fontId="33" fillId="3" borderId="6" xfId="0" applyFont="1" applyFill="1" applyBorder="1"/>
    <xf numFmtId="0" fontId="25" fillId="3" borderId="0" xfId="0" applyFont="1" applyFill="1" applyBorder="1" applyAlignment="1">
      <alignment horizontal="center"/>
    </xf>
    <xf numFmtId="0" fontId="25" fillId="3" borderId="7" xfId="0" applyFont="1" applyFill="1" applyBorder="1" applyAlignment="1">
      <alignment horizontal="center"/>
    </xf>
    <xf numFmtId="0" fontId="33" fillId="3" borderId="10" xfId="0" applyFont="1" applyFill="1" applyBorder="1" applyAlignment="1">
      <alignment vertical="center"/>
    </xf>
    <xf numFmtId="169" fontId="25" fillId="3" borderId="13" xfId="0" applyNumberFormat="1" applyFont="1" applyFill="1" applyBorder="1" applyAlignment="1">
      <alignment horizontal="center" vertical="center"/>
    </xf>
    <xf numFmtId="168" fontId="25" fillId="3" borderId="13" xfId="0" applyNumberFormat="1" applyFont="1" applyFill="1" applyBorder="1" applyAlignment="1">
      <alignment horizontal="center" vertical="center"/>
    </xf>
    <xf numFmtId="168" fontId="25" fillId="3" borderId="11" xfId="0" applyNumberFormat="1" applyFont="1" applyFill="1" applyBorder="1" applyAlignment="1">
      <alignment horizontal="center" vertical="center"/>
    </xf>
    <xf numFmtId="169" fontId="33" fillId="0" borderId="0" xfId="0" applyNumberFormat="1" applyFont="1"/>
    <xf numFmtId="0" fontId="34" fillId="0" borderId="8" xfId="0" applyFont="1" applyBorder="1" applyAlignment="1">
      <alignment horizontal="center"/>
    </xf>
    <xf numFmtId="169" fontId="33" fillId="3" borderId="0" xfId="0" applyNumberFormat="1" applyFont="1" applyFill="1" applyBorder="1" applyAlignment="1">
      <alignment horizontal="center" vertical="center"/>
    </xf>
    <xf numFmtId="168" fontId="33" fillId="3" borderId="0" xfId="0" applyNumberFormat="1" applyFont="1" applyFill="1" applyBorder="1" applyAlignment="1">
      <alignment horizontal="center" vertical="center"/>
    </xf>
    <xf numFmtId="168" fontId="33" fillId="3" borderId="7" xfId="0" applyNumberFormat="1" applyFont="1" applyFill="1" applyBorder="1" applyAlignment="1">
      <alignment horizontal="center" vertical="center"/>
    </xf>
    <xf numFmtId="0" fontId="33" fillId="3" borderId="10" xfId="0" applyFont="1" applyFill="1" applyBorder="1"/>
    <xf numFmtId="169" fontId="25" fillId="3" borderId="13" xfId="0" applyNumberFormat="1" applyFont="1" applyFill="1" applyBorder="1" applyAlignment="1">
      <alignment horizontal="center"/>
    </xf>
    <xf numFmtId="0" fontId="33" fillId="0" borderId="4" xfId="0" applyFont="1" applyFill="1" applyBorder="1"/>
    <xf numFmtId="0" fontId="33" fillId="0" borderId="4" xfId="0" applyFont="1" applyFill="1" applyBorder="1" applyAlignment="1">
      <alignment horizontal="center"/>
    </xf>
    <xf numFmtId="0" fontId="35" fillId="0" borderId="4" xfId="0" applyFont="1" applyFill="1" applyBorder="1" applyAlignment="1">
      <alignment horizontal="center"/>
    </xf>
    <xf numFmtId="169" fontId="10" fillId="0" borderId="4" xfId="0" applyNumberFormat="1" applyFont="1" applyFill="1" applyBorder="1" applyAlignment="1">
      <alignment horizontal="center"/>
    </xf>
    <xf numFmtId="168" fontId="25" fillId="3" borderId="11" xfId="0" applyNumberFormat="1" applyFont="1" applyFill="1" applyBorder="1" applyAlignment="1">
      <alignment horizontal="center"/>
    </xf>
    <xf numFmtId="0" fontId="30" fillId="0" borderId="1" xfId="1" applyFont="1" applyBorder="1" applyAlignment="1">
      <alignment horizontal="center" vertical="center" wrapText="1"/>
    </xf>
    <xf numFmtId="0" fontId="36" fillId="0" borderId="1" xfId="1" applyFont="1" applyFill="1" applyBorder="1" applyAlignment="1">
      <alignment vertical="center" wrapText="1"/>
    </xf>
    <xf numFmtId="9" fontId="36" fillId="0" borderId="1" xfId="1" applyNumberFormat="1" applyFont="1" applyFill="1" applyBorder="1" applyAlignment="1">
      <alignment vertical="center" wrapText="1"/>
    </xf>
    <xf numFmtId="0" fontId="31" fillId="0" borderId="0" xfId="0" applyFont="1"/>
    <xf numFmtId="0" fontId="31" fillId="0" borderId="0" xfId="0" applyFont="1" applyBorder="1"/>
    <xf numFmtId="0" fontId="37" fillId="0" borderId="0" xfId="0" applyFont="1" applyBorder="1"/>
    <xf numFmtId="0" fontId="37" fillId="0" borderId="0" xfId="0" applyFont="1" applyFill="1"/>
    <xf numFmtId="0" fontId="37" fillId="0" borderId="0" xfId="0" applyFont="1"/>
    <xf numFmtId="169" fontId="31" fillId="0" borderId="0" xfId="0" applyNumberFormat="1" applyFont="1"/>
    <xf numFmtId="0" fontId="0" fillId="3" borderId="0" xfId="0" applyFill="1" applyBorder="1" applyAlignment="1">
      <alignment vertical="top" wrapText="1"/>
    </xf>
    <xf numFmtId="0" fontId="0" fillId="3" borderId="0" xfId="0" applyFill="1" applyBorder="1" applyAlignment="1">
      <alignment horizontal="center"/>
    </xf>
    <xf numFmtId="0" fontId="31" fillId="3" borderId="0" xfId="0" applyFont="1" applyFill="1" applyBorder="1" applyAlignment="1">
      <alignment horizontal="center"/>
    </xf>
    <xf numFmtId="169" fontId="0" fillId="3" borderId="0" xfId="0" applyNumberFormat="1" applyFill="1" applyBorder="1" applyAlignment="1">
      <alignment horizontal="center" vertical="center"/>
    </xf>
    <xf numFmtId="0" fontId="27" fillId="3" borderId="0" xfId="0" applyFont="1" applyFill="1" applyBorder="1"/>
    <xf numFmtId="0" fontId="27" fillId="3" borderId="0" xfId="0" applyFont="1" applyFill="1" applyBorder="1" applyAlignment="1">
      <alignment horizontal="center"/>
    </xf>
    <xf numFmtId="169" fontId="27" fillId="3" borderId="0" xfId="0" applyNumberFormat="1" applyFont="1" applyFill="1" applyBorder="1" applyAlignment="1">
      <alignment horizontal="center" vertical="center"/>
    </xf>
    <xf numFmtId="0" fontId="33" fillId="0" borderId="0" xfId="0" applyFont="1" applyBorder="1"/>
    <xf numFmtId="0" fontId="25" fillId="3" borderId="10" xfId="0" applyFont="1" applyFill="1" applyBorder="1" applyAlignment="1">
      <alignment horizontal="right"/>
    </xf>
    <xf numFmtId="168" fontId="25" fillId="3" borderId="13" xfId="0" applyNumberFormat="1" applyFont="1" applyFill="1" applyBorder="1" applyAlignment="1">
      <alignment horizontal="center"/>
    </xf>
    <xf numFmtId="168" fontId="25" fillId="3" borderId="7" xfId="0" applyNumberFormat="1" applyFont="1" applyFill="1" applyBorder="1" applyAlignment="1">
      <alignment horizontal="center"/>
    </xf>
    <xf numFmtId="0" fontId="27" fillId="3" borderId="0" xfId="0" applyFont="1" applyFill="1" applyBorder="1" applyAlignment="1">
      <alignment vertical="top"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0" fillId="0" borderId="8" xfId="0" applyFill="1" applyBorder="1" applyAlignment="1">
      <alignment horizontal="center"/>
    </xf>
    <xf numFmtId="0" fontId="0" fillId="0" borderId="6" xfId="0" applyFill="1" applyBorder="1" applyAlignment="1">
      <alignment horizontal="center"/>
    </xf>
    <xf numFmtId="0" fontId="33" fillId="0" borderId="3" xfId="0" applyFont="1" applyFill="1" applyBorder="1" applyAlignment="1">
      <alignment horizontal="center"/>
    </xf>
    <xf numFmtId="0" fontId="0" fillId="0" borderId="6" xfId="0" applyFill="1" applyBorder="1" applyAlignment="1">
      <alignment horizontal="center" vertical="top"/>
    </xf>
    <xf numFmtId="0" fontId="0" fillId="0" borderId="0" xfId="0" applyFill="1" applyBorder="1" applyAlignment="1">
      <alignment vertical="top"/>
    </xf>
    <xf numFmtId="0" fontId="0" fillId="0" borderId="0" xfId="0" applyFill="1" applyBorder="1" applyAlignment="1">
      <alignment horizontal="center" vertical="top"/>
    </xf>
    <xf numFmtId="0" fontId="31" fillId="0" borderId="0" xfId="0" applyFont="1" applyFill="1" applyBorder="1" applyAlignment="1">
      <alignment horizontal="center" vertical="top"/>
    </xf>
    <xf numFmtId="169" fontId="0" fillId="0" borderId="0" xfId="0" applyNumberFormat="1" applyFill="1" applyBorder="1" applyAlignment="1">
      <alignment horizontal="center" vertical="top"/>
    </xf>
    <xf numFmtId="0" fontId="0" fillId="6" borderId="0" xfId="0" applyFill="1"/>
    <xf numFmtId="0" fontId="35" fillId="0" borderId="4" xfId="0" applyFont="1" applyFill="1" applyBorder="1"/>
    <xf numFmtId="0" fontId="29" fillId="0" borderId="5" xfId="1" applyFont="1" applyFill="1" applyBorder="1" applyAlignment="1">
      <alignment horizontal="center" vertical="center" wrapText="1"/>
    </xf>
    <xf numFmtId="168" fontId="0" fillId="0" borderId="7" xfId="0" applyNumberFormat="1" applyFill="1" applyBorder="1" applyAlignment="1">
      <alignment horizontal="center" vertical="center"/>
    </xf>
    <xf numFmtId="168" fontId="0" fillId="3" borderId="7" xfId="0" applyNumberFormat="1" applyFill="1" applyBorder="1" applyAlignment="1">
      <alignment horizontal="center" vertical="center"/>
    </xf>
    <xf numFmtId="168" fontId="0" fillId="0" borderId="7" xfId="0" applyNumberFormat="1" applyFill="1" applyBorder="1" applyAlignment="1">
      <alignment horizontal="center" vertical="top"/>
    </xf>
    <xf numFmtId="0" fontId="38" fillId="0" borderId="0" xfId="0" applyFont="1" applyBorder="1" applyAlignment="1">
      <alignment horizontal="center"/>
    </xf>
    <xf numFmtId="168" fontId="27" fillId="3" borderId="7" xfId="0" applyNumberFormat="1" applyFont="1" applyFill="1" applyBorder="1" applyAlignment="1">
      <alignment horizontal="center" vertical="center"/>
    </xf>
    <xf numFmtId="168" fontId="10" fillId="0" borderId="5" xfId="0" applyNumberFormat="1" applyFont="1" applyFill="1" applyBorder="1" applyAlignment="1">
      <alignment horizontal="center"/>
    </xf>
    <xf numFmtId="0" fontId="0" fillId="3" borderId="12" xfId="0" applyFill="1" applyBorder="1" applyAlignment="1">
      <alignment vertical="top" wrapText="1"/>
    </xf>
    <xf numFmtId="0" fontId="0" fillId="3" borderId="12" xfId="0" applyFill="1" applyBorder="1"/>
    <xf numFmtId="0" fontId="0" fillId="3" borderId="12" xfId="0" applyFill="1" applyBorder="1" applyAlignment="1">
      <alignment horizontal="center"/>
    </xf>
    <xf numFmtId="0" fontId="31" fillId="3" borderId="12" xfId="0" applyFont="1" applyFill="1" applyBorder="1" applyAlignment="1">
      <alignment horizontal="center"/>
    </xf>
    <xf numFmtId="169" fontId="0" fillId="3" borderId="12" xfId="0" applyNumberFormat="1" applyFill="1" applyBorder="1" applyAlignment="1">
      <alignment horizontal="center" vertical="center"/>
    </xf>
    <xf numFmtId="168" fontId="0" fillId="3" borderId="9" xfId="0" applyNumberFormat="1" applyFill="1" applyBorder="1" applyAlignment="1">
      <alignment horizontal="center" vertical="center"/>
    </xf>
    <xf numFmtId="0" fontId="38" fillId="3" borderId="0" xfId="0" applyFont="1" applyFill="1" applyBorder="1" applyAlignment="1">
      <alignment horizontal="center"/>
    </xf>
    <xf numFmtId="0" fontId="2" fillId="6" borderId="0" xfId="0" applyFont="1" applyFill="1"/>
    <xf numFmtId="0" fontId="2" fillId="7" borderId="0" xfId="0" applyFont="1" applyFill="1"/>
  </cellXfs>
  <cellStyles count="1480">
    <cellStyle name="%" xfId="1"/>
    <cellStyle name="% 2" xfId="2"/>
    <cellStyle name="Comma 2" xfId="3"/>
    <cellStyle name="Comma 2 2" xfId="4"/>
    <cellStyle name="Comma 3" xfId="5"/>
    <cellStyle name="Currency 2" xfId="6"/>
    <cellStyle name="Excel Built-in Normal" xfId="7"/>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2" xfId="8"/>
    <cellStyle name="Hyperlink 3" xfId="9"/>
    <cellStyle name="Normal" xfId="0" builtinId="0"/>
    <cellStyle name="Normal 2" xfId="10"/>
    <cellStyle name="Normal 3" xfId="11"/>
    <cellStyle name="Normal 3 2" xfId="12"/>
    <cellStyle name="Normal 4" xfId="13"/>
    <cellStyle name="Normál_MULTISENS-BÉR" xfId="14"/>
    <cellStyle name="Percent 2" xfId="15"/>
    <cellStyle name="Percent 2 2" xfId="16"/>
    <cellStyle name="TableStyleLight1" xfId="1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JOB/COREGRID/Gestion_Projet/PERIODIC_REPORTING/48_months_report4/Templates_guidelines/template_P4_COREGRID_Summary%20financial%20report%20(For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VIOUS%20JOB/COREGRID/Gestion_Projet/PERIODIC_REPORTING/48_months_report4/Summary/PMR4/ALL_PARTNERS_P4_COREGRID_Summary%20financial%20report%20(Form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ow r="3">
          <cell r="D3" t="str">
            <v>NoE</v>
          </cell>
          <cell r="I3" t="str">
            <v>CoreGRID</v>
          </cell>
          <cell r="R3" t="str">
            <v>004265</v>
          </cell>
        </row>
        <row r="4">
          <cell r="J4">
            <v>39326</v>
          </cell>
          <cell r="Q4">
            <v>39691</v>
          </cell>
        </row>
        <row r="273">
          <cell r="H273">
            <v>0</v>
          </cell>
          <cell r="I273">
            <v>0</v>
          </cell>
          <cell r="K273">
            <v>0</v>
          </cell>
          <cell r="L273">
            <v>0</v>
          </cell>
        </row>
        <row r="275">
          <cell r="H275">
            <v>0</v>
          </cell>
          <cell r="I275">
            <v>0</v>
          </cell>
          <cell r="K275">
            <v>0</v>
          </cell>
          <cell r="L275">
            <v>0</v>
          </cell>
        </row>
        <row r="276">
          <cell r="H276">
            <v>0</v>
          </cell>
          <cell r="K276">
            <v>0</v>
          </cell>
        </row>
        <row r="278">
          <cell r="H278">
            <v>0</v>
          </cell>
          <cell r="I278">
            <v>0</v>
          </cell>
          <cell r="K278">
            <v>0</v>
          </cell>
          <cell r="L278">
            <v>0</v>
          </cell>
          <cell r="N278">
            <v>0</v>
          </cell>
        </row>
        <row r="279">
          <cell r="H279">
            <v>0</v>
          </cell>
          <cell r="K27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2">
          <cell r="K12">
            <v>20</v>
          </cell>
        </row>
        <row r="39">
          <cell r="B39">
            <v>0</v>
          </cell>
          <cell r="E39">
            <v>0</v>
          </cell>
        </row>
        <row r="53">
          <cell r="L53">
            <v>0</v>
          </cell>
        </row>
      </sheetData>
      <sheetData sheetId="45">
        <row r="1">
          <cell r="A1" t="str">
            <v>CostModel</v>
          </cell>
          <cell r="C1" t="str">
            <v>LegalType</v>
          </cell>
          <cell r="D1" t="str">
            <v>InstrumentType</v>
          </cell>
          <cell r="F1" t="str">
            <v>YES/NO</v>
          </cell>
        </row>
        <row r="2">
          <cell r="A2" t="str">
            <v>AC</v>
          </cell>
          <cell r="C2" t="str">
            <v>Physical Person</v>
          </cell>
          <cell r="F2" t="str">
            <v>Yes</v>
          </cell>
        </row>
        <row r="3">
          <cell r="A3" t="str">
            <v>FC</v>
          </cell>
          <cell r="C3" t="str">
            <v>Non-profit</v>
          </cell>
          <cell r="F3" t="str">
            <v>No</v>
          </cell>
        </row>
        <row r="4">
          <cell r="A4" t="str">
            <v>FCF</v>
          </cell>
          <cell r="C4" t="str">
            <v>Non-Commercial</v>
          </cell>
        </row>
        <row r="5">
          <cell r="C5" t="str">
            <v>International Organisations</v>
          </cell>
        </row>
        <row r="6">
          <cell r="C6" t="str">
            <v>SME</v>
          </cell>
        </row>
        <row r="7">
          <cell r="C7" t="str">
            <v>Other</v>
          </cell>
        </row>
      </sheetData>
      <sheetData sheetId="4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report"/>
      <sheetName val="CR1 ERCIM"/>
      <sheetName val="CR2 CETIC"/>
      <sheetName val="CR3 IPP-BAS"/>
      <sheetName val="CR4 CNR-ISTI"/>
      <sheetName val="CR5 CNRS"/>
      <sheetName val="CR6 TUD"/>
      <sheetName val="CR7 EPFL"/>
      <sheetName val="CR8 FhG"/>
      <sheetName val="CR9 FzJ"/>
      <sheetName val="CR10 HLRS"/>
      <sheetName val="CR11 FORTH"/>
      <sheetName val="CR12 IC"/>
      <sheetName val="CR13 INFN"/>
      <sheetName val="CR14 INRIA"/>
      <sheetName val="CR15 KTH"/>
      <sheetName val="CR16 MU"/>
      <sheetName val="CR17 PSNC"/>
      <sheetName val="CR18 CCLRC"/>
      <sheetName val="CR19 SICS"/>
      <sheetName val="CR20 SZTAKI"/>
      <sheetName val="CR21 QUB"/>
      <sheetName val="CR22 UMUE"/>
      <sheetName val="CR23 UNICAL"/>
      <sheetName val="CR24 UCAM"/>
      <sheetName val="CR25 UWC"/>
      <sheetName val="CR26 UCH"/>
      <sheetName val="CR27 UCO"/>
      <sheetName val="CR28 UCY"/>
      <sheetName val="CR29 UNIDO"/>
      <sheetName val="CR30 UNILE"/>
      <sheetName val="CR31 UCL"/>
      <sheetName val="CR32 UOM"/>
      <sheetName val="CR33 UNCL"/>
      <sheetName val="CR34-UPA"/>
      <sheetName val="CR35 UNIPI"/>
      <sheetName val="CR36 EIA-FR"/>
      <sheetName val="CR37 UOW"/>
      <sheetName val="CR38 UPC"/>
      <sheetName val="CR39 VUA"/>
      <sheetName val="CR40 VTT"/>
      <sheetName val="CR41 ZIB"/>
      <sheetName val="CR42 CYFRONET"/>
      <sheetName val="CR43 UIBK"/>
      <sheetName val="Template"/>
      <sheetName val="List"/>
      <sheetName val="Resu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
          <cell r="D1" t="str">
            <v>InstrumentType</v>
          </cell>
        </row>
        <row r="2">
          <cell r="D2" t="str">
            <v>IP</v>
          </cell>
        </row>
        <row r="3">
          <cell r="D3" t="str">
            <v>NoE</v>
          </cell>
        </row>
        <row r="4">
          <cell r="D4" t="str">
            <v>STReP</v>
          </cell>
        </row>
        <row r="5">
          <cell r="D5" t="str">
            <v>CA</v>
          </cell>
        </row>
        <row r="6">
          <cell r="D6" t="str">
            <v>SSA</v>
          </cell>
        </row>
      </sheetData>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abSelected="1" zoomScale="125" zoomScaleNormal="125" zoomScalePageLayoutView="125" workbookViewId="0">
      <selection activeCell="C11" sqref="C11"/>
    </sheetView>
  </sheetViews>
  <sheetFormatPr baseColWidth="10" defaultColWidth="11.5" defaultRowHeight="14" x14ac:dyDescent="0"/>
  <cols>
    <col min="1" max="1" width="15.33203125" customWidth="1"/>
    <col min="2" max="2" width="15.6640625" customWidth="1"/>
  </cols>
  <sheetData>
    <row r="1" spans="1:3" s="181" customFormat="1">
      <c r="A1" s="181" t="s">
        <v>474</v>
      </c>
    </row>
    <row r="2" spans="1:3">
      <c r="A2" t="s">
        <v>472</v>
      </c>
    </row>
    <row r="3" spans="1:3">
      <c r="A3" t="s">
        <v>471</v>
      </c>
    </row>
    <row r="4" spans="1:3">
      <c r="A4" t="s">
        <v>473</v>
      </c>
    </row>
    <row r="6" spans="1:3" s="181" customFormat="1">
      <c r="A6" s="197" t="s">
        <v>465</v>
      </c>
      <c r="C6" s="198" t="s">
        <v>467</v>
      </c>
    </row>
    <row r="7" spans="1:3">
      <c r="A7" t="s">
        <v>508</v>
      </c>
      <c r="C7" s="9" t="s">
        <v>543</v>
      </c>
    </row>
    <row r="8" spans="1:3">
      <c r="A8" t="s">
        <v>466</v>
      </c>
      <c r="C8" s="9" t="s">
        <v>507</v>
      </c>
    </row>
    <row r="9" spans="1:3">
      <c r="A9" t="s">
        <v>469</v>
      </c>
      <c r="C9" s="9" t="s">
        <v>468</v>
      </c>
    </row>
    <row r="10" spans="1:3">
      <c r="A10" t="s">
        <v>469</v>
      </c>
      <c r="C10" s="9" t="s">
        <v>475</v>
      </c>
    </row>
    <row r="11" spans="1:3">
      <c r="A11" t="s">
        <v>466</v>
      </c>
      <c r="C11" s="9" t="s">
        <v>470</v>
      </c>
    </row>
    <row r="13" spans="1:3" s="181" customFormat="1">
      <c r="A13" s="181" t="s">
        <v>490</v>
      </c>
      <c r="C13" s="181" t="s">
        <v>491</v>
      </c>
    </row>
    <row r="14" spans="1:3">
      <c r="A14" t="s">
        <v>412</v>
      </c>
      <c r="B14" t="s">
        <v>448</v>
      </c>
      <c r="C14" t="s">
        <v>497</v>
      </c>
    </row>
    <row r="15" spans="1:3">
      <c r="A15" t="s">
        <v>493</v>
      </c>
      <c r="B15" t="s">
        <v>492</v>
      </c>
      <c r="C15" t="s">
        <v>498</v>
      </c>
    </row>
    <row r="16" spans="1:3">
      <c r="A16" t="s">
        <v>496</v>
      </c>
      <c r="B16" t="s">
        <v>494</v>
      </c>
      <c r="C16" t="s">
        <v>499</v>
      </c>
    </row>
    <row r="17" spans="1:3">
      <c r="A17" t="s">
        <v>446</v>
      </c>
      <c r="B17" t="s">
        <v>495</v>
      </c>
      <c r="C17" t="s">
        <v>500</v>
      </c>
    </row>
    <row r="19" spans="1:3" s="181" customFormat="1">
      <c r="A19" s="181" t="s">
        <v>478</v>
      </c>
      <c r="C19" s="181" t="s">
        <v>484</v>
      </c>
    </row>
    <row r="20" spans="1:3">
      <c r="A20" t="s">
        <v>480</v>
      </c>
      <c r="B20" t="s">
        <v>451</v>
      </c>
      <c r="C20" t="s">
        <v>487</v>
      </c>
    </row>
    <row r="21" spans="1:3">
      <c r="A21" t="s">
        <v>481</v>
      </c>
      <c r="B21" t="s">
        <v>452</v>
      </c>
      <c r="C21" t="s">
        <v>485</v>
      </c>
    </row>
    <row r="22" spans="1:3">
      <c r="A22" t="s">
        <v>482</v>
      </c>
      <c r="B22" t="s">
        <v>453</v>
      </c>
      <c r="C22" t="s">
        <v>488</v>
      </c>
    </row>
    <row r="23" spans="1:3">
      <c r="A23" t="s">
        <v>483</v>
      </c>
      <c r="B23" t="s">
        <v>454</v>
      </c>
      <c r="C23" t="s">
        <v>486</v>
      </c>
    </row>
    <row r="24" spans="1:3">
      <c r="A24" t="s">
        <v>479</v>
      </c>
      <c r="B24" t="s">
        <v>230</v>
      </c>
      <c r="C24" t="s">
        <v>489</v>
      </c>
    </row>
    <row r="26" spans="1:3" s="181" customFormat="1">
      <c r="C26" s="181" t="s">
        <v>477</v>
      </c>
    </row>
    <row r="27" spans="1:3">
      <c r="A27" t="s">
        <v>302</v>
      </c>
      <c r="B27" t="s">
        <v>140</v>
      </c>
      <c r="C27" t="s">
        <v>455</v>
      </c>
    </row>
    <row r="28" spans="1:3">
      <c r="A28" t="s">
        <v>449</v>
      </c>
      <c r="B28" t="s">
        <v>137</v>
      </c>
      <c r="C28" t="s">
        <v>456</v>
      </c>
    </row>
    <row r="29" spans="1:3">
      <c r="A29" t="s">
        <v>384</v>
      </c>
      <c r="B29" t="s">
        <v>139</v>
      </c>
      <c r="C29" t="s">
        <v>457</v>
      </c>
    </row>
    <row r="30" spans="1:3">
      <c r="A30" t="s">
        <v>463</v>
      </c>
      <c r="B30" t="s">
        <v>61</v>
      </c>
      <c r="C30" t="s">
        <v>459</v>
      </c>
    </row>
    <row r="31" spans="1:3">
      <c r="A31" t="s">
        <v>304</v>
      </c>
      <c r="B31" t="s">
        <v>66</v>
      </c>
      <c r="C31" t="s">
        <v>458</v>
      </c>
    </row>
    <row r="33" spans="1:6" s="181" customFormat="1">
      <c r="B33" s="181" t="s">
        <v>406</v>
      </c>
      <c r="F33" s="181" t="s">
        <v>512</v>
      </c>
    </row>
    <row r="34" spans="1:6">
      <c r="A34" t="s">
        <v>442</v>
      </c>
      <c r="B34" t="s">
        <v>358</v>
      </c>
      <c r="F34" t="s">
        <v>534</v>
      </c>
    </row>
    <row r="35" spans="1:6">
      <c r="A35" t="s">
        <v>190</v>
      </c>
      <c r="B35" t="s">
        <v>151</v>
      </c>
      <c r="F35" t="s">
        <v>536</v>
      </c>
    </row>
    <row r="36" spans="1:6">
      <c r="A36" t="s">
        <v>238</v>
      </c>
      <c r="B36" t="s">
        <v>402</v>
      </c>
      <c r="F36" t="s">
        <v>537</v>
      </c>
    </row>
    <row r="37" spans="1:6">
      <c r="A37" t="s">
        <v>197</v>
      </c>
      <c r="B37" t="s">
        <v>311</v>
      </c>
    </row>
    <row r="38" spans="1:6">
      <c r="A38" t="s">
        <v>461</v>
      </c>
      <c r="B38" t="s">
        <v>460</v>
      </c>
      <c r="F38" t="s">
        <v>531</v>
      </c>
    </row>
    <row r="39" spans="1:6">
      <c r="A39" t="s">
        <v>192</v>
      </c>
      <c r="B39" t="s">
        <v>403</v>
      </c>
    </row>
    <row r="40" spans="1:6">
      <c r="A40" t="s">
        <v>427</v>
      </c>
      <c r="B40" t="s">
        <v>336</v>
      </c>
    </row>
    <row r="41" spans="1:6">
      <c r="A41" t="s">
        <v>373</v>
      </c>
      <c r="B41" t="s">
        <v>328</v>
      </c>
      <c r="F41" t="s">
        <v>520</v>
      </c>
    </row>
    <row r="42" spans="1:6">
      <c r="A42" t="s">
        <v>376</v>
      </c>
      <c r="B42" t="s">
        <v>407</v>
      </c>
      <c r="F42" t="s">
        <v>541</v>
      </c>
    </row>
    <row r="43" spans="1:6">
      <c r="A43" t="s">
        <v>436</v>
      </c>
      <c r="B43" t="s">
        <v>354</v>
      </c>
    </row>
    <row r="44" spans="1:6">
      <c r="A44" t="s">
        <v>393</v>
      </c>
      <c r="B44" t="s">
        <v>309</v>
      </c>
    </row>
    <row r="45" spans="1:6">
      <c r="A45" t="s">
        <v>435</v>
      </c>
      <c r="B45" t="s">
        <v>352</v>
      </c>
    </row>
    <row r="46" spans="1:6">
      <c r="A46" t="s">
        <v>291</v>
      </c>
      <c r="B46" t="s">
        <v>291</v>
      </c>
    </row>
    <row r="47" spans="1:6">
      <c r="A47" t="s">
        <v>181</v>
      </c>
      <c r="B47" t="s">
        <v>161</v>
      </c>
      <c r="F47" t="s">
        <v>510</v>
      </c>
    </row>
    <row r="48" spans="1:6">
      <c r="A48" t="s">
        <v>437</v>
      </c>
      <c r="B48" t="s">
        <v>351</v>
      </c>
    </row>
    <row r="49" spans="1:6">
      <c r="A49" t="s">
        <v>438</v>
      </c>
      <c r="B49" t="s">
        <v>351</v>
      </c>
    </row>
    <row r="50" spans="1:6">
      <c r="A50" t="s">
        <v>425</v>
      </c>
      <c r="B50" t="s">
        <v>333</v>
      </c>
    </row>
    <row r="51" spans="1:6">
      <c r="A51" t="s">
        <v>419</v>
      </c>
      <c r="B51" t="s">
        <v>404</v>
      </c>
      <c r="F51" t="s">
        <v>519</v>
      </c>
    </row>
    <row r="52" spans="1:6">
      <c r="A52" t="s">
        <v>388</v>
      </c>
      <c r="B52" t="s">
        <v>342</v>
      </c>
      <c r="F52" t="s">
        <v>525</v>
      </c>
    </row>
    <row r="53" spans="1:6">
      <c r="A53" t="s">
        <v>129</v>
      </c>
      <c r="B53" t="s">
        <v>129</v>
      </c>
      <c r="F53" t="s">
        <v>539</v>
      </c>
    </row>
    <row r="54" spans="1:6">
      <c r="A54" t="s">
        <v>420</v>
      </c>
      <c r="B54" t="s">
        <v>401</v>
      </c>
    </row>
    <row r="55" spans="1:6">
      <c r="A55" t="s">
        <v>368</v>
      </c>
      <c r="B55" t="s">
        <v>400</v>
      </c>
    </row>
    <row r="56" spans="1:6">
      <c r="A56" t="s">
        <v>387</v>
      </c>
      <c r="B56" t="s">
        <v>314</v>
      </c>
      <c r="F56" t="s">
        <v>509</v>
      </c>
    </row>
    <row r="57" spans="1:6">
      <c r="A57" t="s">
        <v>367</v>
      </c>
      <c r="B57" t="s">
        <v>340</v>
      </c>
      <c r="F57" t="s">
        <v>523</v>
      </c>
    </row>
    <row r="58" spans="1:6">
      <c r="A58" t="s">
        <v>305</v>
      </c>
      <c r="B58" t="s">
        <v>149</v>
      </c>
      <c r="F58" t="s">
        <v>542</v>
      </c>
    </row>
    <row r="59" spans="1:6">
      <c r="A59" t="s">
        <v>241</v>
      </c>
      <c r="B59" t="s">
        <v>240</v>
      </c>
      <c r="F59" t="s">
        <v>538</v>
      </c>
    </row>
    <row r="60" spans="1:6">
      <c r="A60" t="s">
        <v>209</v>
      </c>
      <c r="B60" t="s">
        <v>153</v>
      </c>
      <c r="F60" t="s">
        <v>529</v>
      </c>
    </row>
    <row r="61" spans="1:6">
      <c r="A61" t="s">
        <v>432</v>
      </c>
      <c r="B61" t="s">
        <v>346</v>
      </c>
      <c r="F61" t="s">
        <v>530</v>
      </c>
    </row>
    <row r="62" spans="1:6">
      <c r="A62" t="s">
        <v>173</v>
      </c>
      <c r="B62" t="s">
        <v>312</v>
      </c>
    </row>
    <row r="63" spans="1:6">
      <c r="A63" t="s">
        <v>208</v>
      </c>
      <c r="B63" t="s">
        <v>150</v>
      </c>
      <c r="F63" t="s">
        <v>535</v>
      </c>
    </row>
    <row r="64" spans="1:6">
      <c r="A64" t="s">
        <v>445</v>
      </c>
      <c r="B64" t="s">
        <v>364</v>
      </c>
    </row>
    <row r="65" spans="1:6">
      <c r="A65" t="s">
        <v>383</v>
      </c>
      <c r="B65" t="s">
        <v>313</v>
      </c>
    </row>
    <row r="66" spans="1:6">
      <c r="A66" t="s">
        <v>443</v>
      </c>
      <c r="B66" t="s">
        <v>361</v>
      </c>
    </row>
    <row r="67" spans="1:6">
      <c r="A67" t="s">
        <v>422</v>
      </c>
      <c r="B67" t="s">
        <v>330</v>
      </c>
      <c r="F67" t="s">
        <v>521</v>
      </c>
    </row>
    <row r="68" spans="1:6">
      <c r="A68" t="s">
        <v>423</v>
      </c>
      <c r="B68" t="s">
        <v>331</v>
      </c>
      <c r="F68" t="s">
        <v>522</v>
      </c>
    </row>
    <row r="69" spans="1:6">
      <c r="A69" t="s">
        <v>187</v>
      </c>
      <c r="B69" t="s">
        <v>308</v>
      </c>
    </row>
    <row r="70" spans="1:6">
      <c r="A70" t="s">
        <v>421</v>
      </c>
      <c r="B70" t="s">
        <v>326</v>
      </c>
    </row>
    <row r="71" spans="1:6">
      <c r="A71" t="s">
        <v>433</v>
      </c>
      <c r="B71" t="s">
        <v>349</v>
      </c>
    </row>
    <row r="72" spans="1:6">
      <c r="A72" t="s">
        <v>444</v>
      </c>
      <c r="B72" t="s">
        <v>363</v>
      </c>
      <c r="F72" t="s">
        <v>540</v>
      </c>
    </row>
    <row r="73" spans="1:6">
      <c r="A73" t="s">
        <v>440</v>
      </c>
      <c r="B73" t="s">
        <v>338</v>
      </c>
    </row>
    <row r="74" spans="1:6">
      <c r="A74" t="s">
        <v>439</v>
      </c>
      <c r="B74" t="s">
        <v>338</v>
      </c>
    </row>
    <row r="75" spans="1:6">
      <c r="A75" t="s">
        <v>415</v>
      </c>
      <c r="B75" t="s">
        <v>318</v>
      </c>
      <c r="F75" t="s">
        <v>513</v>
      </c>
    </row>
    <row r="76" spans="1:6">
      <c r="A76" t="s">
        <v>193</v>
      </c>
      <c r="B76" t="s">
        <v>360</v>
      </c>
    </row>
    <row r="77" spans="1:6">
      <c r="A77" t="s">
        <v>417</v>
      </c>
      <c r="B77" t="s">
        <v>322</v>
      </c>
      <c r="F77" t="s">
        <v>517</v>
      </c>
    </row>
    <row r="78" spans="1:6">
      <c r="A78" t="s">
        <v>416</v>
      </c>
      <c r="B78" t="s">
        <v>321</v>
      </c>
      <c r="F78" t="s">
        <v>516</v>
      </c>
    </row>
    <row r="79" spans="1:6">
      <c r="A79" t="s">
        <v>389</v>
      </c>
      <c r="B79" t="s">
        <v>343</v>
      </c>
      <c r="F79" t="s">
        <v>526</v>
      </c>
    </row>
    <row r="80" spans="1:6">
      <c r="A80" t="s">
        <v>380</v>
      </c>
      <c r="B80" t="s">
        <v>320</v>
      </c>
      <c r="F80" t="s">
        <v>515</v>
      </c>
    </row>
    <row r="81" spans="1:6">
      <c r="A81" t="s">
        <v>381</v>
      </c>
      <c r="B81" t="s">
        <v>319</v>
      </c>
      <c r="F81" t="s">
        <v>514</v>
      </c>
    </row>
    <row r="82" spans="1:6">
      <c r="A82" t="s">
        <v>424</v>
      </c>
      <c r="B82" t="s">
        <v>332</v>
      </c>
    </row>
    <row r="83" spans="1:6">
      <c r="A83" t="s">
        <v>418</v>
      </c>
      <c r="B83" t="s">
        <v>323</v>
      </c>
      <c r="F83" t="s">
        <v>518</v>
      </c>
    </row>
    <row r="84" spans="1:6">
      <c r="A84" t="s">
        <v>390</v>
      </c>
      <c r="B84" t="s">
        <v>315</v>
      </c>
      <c r="F84" t="s">
        <v>511</v>
      </c>
    </row>
    <row r="85" spans="1:6">
      <c r="A85" t="s">
        <v>441</v>
      </c>
      <c r="B85" t="s">
        <v>357</v>
      </c>
    </row>
    <row r="86" spans="1:6">
      <c r="A86" t="s">
        <v>503</v>
      </c>
      <c r="B86" t="s">
        <v>505</v>
      </c>
      <c r="F86" t="s">
        <v>533</v>
      </c>
    </row>
    <row r="87" spans="1:6">
      <c r="A87" t="s">
        <v>394</v>
      </c>
      <c r="B87" t="s">
        <v>317</v>
      </c>
      <c r="F87" t="s">
        <v>532</v>
      </c>
    </row>
    <row r="88" spans="1:6">
      <c r="A88" t="s">
        <v>426</v>
      </c>
      <c r="B88" t="s">
        <v>335</v>
      </c>
    </row>
    <row r="89" spans="1:6">
      <c r="A89" t="s">
        <v>429</v>
      </c>
      <c r="B89" t="s">
        <v>344</v>
      </c>
      <c r="F89" t="s">
        <v>527</v>
      </c>
    </row>
    <row r="90" spans="1:6">
      <c r="A90" t="s">
        <v>431</v>
      </c>
      <c r="B90" t="s">
        <v>345</v>
      </c>
      <c r="F90" t="s">
        <v>528</v>
      </c>
    </row>
    <row r="91" spans="1:6">
      <c r="A91" t="s">
        <v>430</v>
      </c>
      <c r="B91" t="s">
        <v>341</v>
      </c>
      <c r="F91" t="s">
        <v>524</v>
      </c>
    </row>
    <row r="92" spans="1:6">
      <c r="A92" t="s">
        <v>236</v>
      </c>
      <c r="B92" t="s">
        <v>237</v>
      </c>
    </row>
    <row r="93" spans="1:6">
      <c r="A93" t="s">
        <v>428</v>
      </c>
      <c r="B93" t="s">
        <v>337</v>
      </c>
    </row>
    <row r="94" spans="1:6">
      <c r="A94" t="s">
        <v>504</v>
      </c>
      <c r="B94" t="s">
        <v>502</v>
      </c>
    </row>
    <row r="95" spans="1:6">
      <c r="A95" t="s">
        <v>414</v>
      </c>
      <c r="B95" t="s">
        <v>310</v>
      </c>
    </row>
    <row r="96" spans="1:6">
      <c r="A96" t="s">
        <v>434</v>
      </c>
      <c r="B96" t="s">
        <v>350</v>
      </c>
    </row>
  </sheetData>
  <sortState ref="A33:B98">
    <sortCondition ref="A33"/>
  </sortState>
  <phoneticPr fontId="39" type="noConversion"/>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G45"/>
  <sheetViews>
    <sheetView topLeftCell="A8" workbookViewId="0">
      <selection activeCell="A30" sqref="A30"/>
    </sheetView>
  </sheetViews>
  <sheetFormatPr baseColWidth="10" defaultColWidth="10.83203125" defaultRowHeight="18" x14ac:dyDescent="0"/>
  <cols>
    <col min="1" max="1" width="34.33203125" style="129" bestFit="1" customWidth="1"/>
    <col min="2" max="2" width="11.83203125" style="129" bestFit="1" customWidth="1"/>
    <col min="3" max="3" width="15" style="129" bestFit="1" customWidth="1"/>
    <col min="4" max="4" width="14.83203125" style="129" bestFit="1" customWidth="1"/>
    <col min="5" max="5" width="20.33203125" style="129" bestFit="1" customWidth="1"/>
    <col min="6" max="6" width="15.6640625" style="129" customWidth="1"/>
    <col min="7" max="7" width="14.5" style="129" customWidth="1"/>
    <col min="8" max="8" width="11.1640625" style="129" bestFit="1" customWidth="1"/>
    <col min="9" max="16384" width="10.83203125" style="129"/>
  </cols>
  <sheetData>
    <row r="1" spans="1:6" ht="20">
      <c r="A1" s="138" t="s">
        <v>385</v>
      </c>
      <c r="B1" s="127"/>
      <c r="C1" s="127"/>
      <c r="D1" s="127"/>
      <c r="E1" s="127"/>
      <c r="F1" s="128"/>
    </row>
    <row r="2" spans="1:6">
      <c r="A2" s="130"/>
      <c r="B2" s="131" t="s">
        <v>281</v>
      </c>
      <c r="C2" s="131" t="s">
        <v>282</v>
      </c>
      <c r="D2" s="131" t="s">
        <v>283</v>
      </c>
      <c r="E2" s="131" t="s">
        <v>229</v>
      </c>
      <c r="F2" s="132" t="s">
        <v>230</v>
      </c>
    </row>
    <row r="3" spans="1:6">
      <c r="A3" s="130" t="s">
        <v>140</v>
      </c>
      <c r="B3" s="139">
        <f>SUMIF(GT_Cost_DataSheet_PY2!O2:O71, "COORD", GT_Cost_DataSheet_PY2!X2:X71)</f>
        <v>162.87926924175872</v>
      </c>
      <c r="C3" s="140">
        <f>SUMIF(GT_Cost_DataSheet_PY2!O2:O71, "COORD", GT_Cost_DataSheet_PY2!AB2:AB71)</f>
        <v>1396311.7092921706</v>
      </c>
      <c r="D3" s="140">
        <f>SUMIF(GT_Cost_DataSheet_PY2!O2:O71, "COORD", GT_Cost_DataSheet_PY2!AC2:AC71)</f>
        <v>840835.51621436724</v>
      </c>
      <c r="E3" s="140">
        <f>SUMIF(GT_Cost_DataSheet_PY2!O2:O71, "COORD", GT_Cost_DataSheet_PY2!AD2:AD71)+SUMIF(GT_Cost_DataSheet_PY2!O2:O71, "COORD", GT_Cost_DataSheet_PY2!AF2:AF71)</f>
        <v>302237.89443171804</v>
      </c>
      <c r="F3" s="141">
        <f>SUMIF(GT_Cost_DataSheet_PY2!O2:O71, "COORD", GT_Cost_DataSheet_PY2!AE2:AE71)</f>
        <v>253238.29864608531</v>
      </c>
    </row>
    <row r="4" spans="1:6">
      <c r="A4" s="130" t="s">
        <v>324</v>
      </c>
      <c r="B4" s="139">
        <f>SUMIF(GT_Cost_DataSheet_PY2!O2:O71, "CONSUPP", GT_Cost_DataSheet_PY2!X2:X71)</f>
        <v>153.14278227861772</v>
      </c>
      <c r="C4" s="140">
        <f>SUMIF(GT_Cost_DataSheet_PY2!O2:O71, "CONSUPP", GT_Cost_DataSheet_PY2!AB2:AB71)</f>
        <v>1178419.6547743054</v>
      </c>
      <c r="D4" s="140">
        <f>SUMIF(GT_Cost_DataSheet_PY2!O2:O71, "CONSUPP", GT_Cost_DataSheet_PY2!AC2:AC71)</f>
        <v>580516.70361806895</v>
      </c>
      <c r="E4" s="140">
        <f>SUMIF(GT_Cost_DataSheet_PY2!O2:O71, "CONSUPP", GT_Cost_DataSheet_PY2!AD2:AD71)+SUMIF(GT_Cost_DataSheet_PY2!O2:O71, "CONSUPP", GT_Cost_DataSheet_PY2!AF2:AF71)</f>
        <v>294604.91369357635</v>
      </c>
      <c r="F4" s="141">
        <f>SUMIF(GT_Cost_DataSheet_PY2!O2:O71, "CONSUPP", GT_Cost_DataSheet_PY2!AE2:AE71)</f>
        <v>303298.03746266005</v>
      </c>
    </row>
    <row r="5" spans="1:6">
      <c r="A5" s="130" t="s">
        <v>347</v>
      </c>
      <c r="B5" s="139">
        <f>SUMIF(GT_Cost_DataSheet_PY2!O2:O71, "MARKOUT", GT_Cost_DataSheet_PY2!X2:X71)</f>
        <v>59.514814348646944</v>
      </c>
      <c r="C5" s="140">
        <f>SUMIF(GT_Cost_DataSheet_PY2!O2:O71, "MARKOUT", GT_Cost_DataSheet_PY2!AB2:AB71)</f>
        <v>424903.80735101434</v>
      </c>
      <c r="D5" s="140">
        <f>SUMIF(GT_Cost_DataSheet_PY2!O2:O71, "MARKOUT", GT_Cost_DataSheet_PY2!AC2:AC71)</f>
        <v>307232.43791326077</v>
      </c>
      <c r="E5" s="140">
        <f>SUMIF(GT_Cost_DataSheet_PY2!O2:O71, "MARKOUT", GT_Cost_DataSheet_PY2!AD2:AD71)+SUMIF(GT_Cost_DataSheet_PY2!O2:O71, "MARKOUT", GT_Cost_DataSheet_PY2!AF2:AF71)</f>
        <v>106225.95183775362</v>
      </c>
      <c r="F5" s="141">
        <f>SUMIF(GT_Cost_DataSheet_PY2!O2:O71, "MARKOUT", GT_Cost_DataSheet_PY2!AE2:AE71)</f>
        <v>11445.417600000001</v>
      </c>
    </row>
    <row r="6" spans="1:6">
      <c r="A6" s="130" t="s">
        <v>355</v>
      </c>
      <c r="B6" s="139">
        <f>SUMIF(GT_Cost_DataSheet_PY2!O2:O71, "SOFTPLAT", GT_Cost_DataSheet_PY2!X2:X71)</f>
        <v>87.656890295119183</v>
      </c>
      <c r="C6" s="140">
        <f>SUMIF(GT_Cost_DataSheet_PY2!O2:O71, "SOFTPLAT", GT_Cost_DataSheet_PY2!AB2:AB71)</f>
        <v>503336.89387149498</v>
      </c>
      <c r="D6" s="140">
        <f>SUMIF(GT_Cost_DataSheet_PY2!O2:O71, "SOFTPLAT", GT_Cost_DataSheet_PY2!AC2:AC71)</f>
        <v>125834.22346787374</v>
      </c>
      <c r="E6" s="140">
        <f>SUMIF(GT_Cost_DataSheet_PY2!O2:O71, "SOFTPLAT", GT_Cost_DataSheet_PY2!AD2:AD71)+SUMIF(GT_Cost_DataSheet_PY2!O2:O71, "SOFTPLAT", GT_Cost_DataSheet_PY2!AF2:AF71)</f>
        <v>125834.22346787374</v>
      </c>
      <c r="F6" s="141">
        <f>SUMIF(GT_Cost_DataSheet_PY2!O2:O71, "SOFTPLAT", GT_Cost_DataSheet_PY2!AE2:AE71)</f>
        <v>251668.44693574752</v>
      </c>
    </row>
    <row r="7" spans="1:6">
      <c r="A7" s="130" t="s">
        <v>359</v>
      </c>
      <c r="B7" s="139">
        <f>SUMIF(GT_Cost_DataSheet_PY2!O2:O71, "CORE", GT_Cost_DataSheet_PY2!X2:X71)</f>
        <v>119.51931902317328</v>
      </c>
      <c r="C7" s="140">
        <f>SUMIF(GT_Cost_DataSheet_PY2!O2:O71, "CORE", GT_Cost_DataSheet_PY2!AB2:AB71)</f>
        <v>1250191.5243099348</v>
      </c>
      <c r="D7" s="140">
        <f>SUMIF(GT_Cost_DataSheet_PY2!O2:O71, "CORE", GT_Cost_DataSheet_PY2!AC2:AC71)</f>
        <v>350064.87845981051</v>
      </c>
      <c r="E7" s="140">
        <f>SUMIF(GT_Cost_DataSheet_PY2!O2:O71, "CORE", GT_Cost_DataSheet_PY2!AD2:AD71)+SUMIF(GT_Cost_DataSheet_PY2!O2:O71, "CORE", GT_Cost_DataSheet_PY2!AF2:AF71)</f>
        <v>311642.05110693903</v>
      </c>
      <c r="F7" s="141">
        <f>SUMIF(GT_Cost_DataSheet_PY2!O2:O71, "CORE", GT_Cost_DataSheet_PY2!AE2:AE71)</f>
        <v>590495.8715431852</v>
      </c>
    </row>
    <row r="8" spans="1:6" ht="22" customHeight="1" thickBot="1">
      <c r="A8" s="133"/>
      <c r="B8" s="134">
        <f>SUM(B3:B7)</f>
        <v>582.71307518731578</v>
      </c>
      <c r="C8" s="135">
        <f t="shared" ref="C8:F8" si="0">SUM(C3:C7)</f>
        <v>4753163.5895989202</v>
      </c>
      <c r="D8" s="135">
        <f t="shared" si="0"/>
        <v>2204483.7596733812</v>
      </c>
      <c r="E8" s="135">
        <f t="shared" si="0"/>
        <v>1140545.0345378609</v>
      </c>
      <c r="F8" s="136">
        <f t="shared" si="0"/>
        <v>1410146.072187678</v>
      </c>
    </row>
    <row r="9" spans="1:6" ht="19" thickBot="1">
      <c r="B9" s="137"/>
      <c r="C9" s="137"/>
      <c r="D9" s="137"/>
      <c r="E9" s="137"/>
      <c r="F9" s="137"/>
    </row>
    <row r="10" spans="1:6" ht="20">
      <c r="A10" s="138" t="s">
        <v>386</v>
      </c>
      <c r="B10" s="127"/>
      <c r="C10" s="127"/>
      <c r="D10" s="127"/>
      <c r="E10" s="127"/>
      <c r="F10" s="128"/>
    </row>
    <row r="11" spans="1:6">
      <c r="A11" s="130"/>
      <c r="B11" s="131" t="s">
        <v>281</v>
      </c>
      <c r="C11" s="131" t="s">
        <v>249</v>
      </c>
      <c r="D11" s="131" t="s">
        <v>283</v>
      </c>
      <c r="E11" s="131" t="s">
        <v>229</v>
      </c>
      <c r="F11" s="132" t="s">
        <v>230</v>
      </c>
    </row>
    <row r="12" spans="1:6">
      <c r="A12" s="130" t="s">
        <v>395</v>
      </c>
      <c r="B12" s="139">
        <f>SUMIF(GT_Cost_DataSheet_PY2!P2:P71, "PRJMGT", GT_Cost_DataSheet_PY2!X2:X71)</f>
        <v>94.51666666666668</v>
      </c>
      <c r="C12" s="140">
        <f>SUMIF(GT_Cost_DataSheet_PY2!P2:P71, "PRJMGT", GT_Cost_DataSheet_PY2!AB2:AB71)</f>
        <v>763677.22000000009</v>
      </c>
      <c r="D12" s="140">
        <f>SUMIF(GT_Cost_DataSheet_PY2!P2:P71, "PRJMGT", GT_Cost_DataSheet_PY2!AC2:AC71)</f>
        <v>572234.41989132471</v>
      </c>
      <c r="E12" s="140">
        <f>SUMIF(GT_Cost_DataSheet_PY2!P2:P71, "PRJMGT", GT_Cost_DataSheet_PY2!AD2:AD71)+SUMIF(GT_Cost_DataSheet_PY2!P2:P71, "PRJMGT", GT_Cost_DataSheet_PY2!AF2:AF71)</f>
        <v>144079.27210867536</v>
      </c>
      <c r="F12" s="141">
        <f>SUMIF(GT_Cost_DataSheet_PY2!P2:P71, "PRJMGT", GT_Cost_DataSheet_PY2!AE2:AE71)</f>
        <v>47363.528000000006</v>
      </c>
    </row>
    <row r="13" spans="1:6">
      <c r="A13" s="130" t="s">
        <v>45</v>
      </c>
      <c r="B13" s="139">
        <f>SUMIF(GT_Cost_DataSheet_PY2!P2:P71, "OPSCOORD", GT_Cost_DataSheet_PY2!X2:X71)</f>
        <v>36.927756301388158</v>
      </c>
      <c r="C13" s="140">
        <f>SUMIF(GT_Cost_DataSheet_PY2!P2:P71, "OPSCOORD", GT_Cost_DataSheet_PY2!AB2:AB71)</f>
        <v>372158.92379217059</v>
      </c>
      <c r="D13" s="140">
        <f>SUMIF(GT_Cost_DataSheet_PY2!P2:P71, "OPSCOORD", GT_Cost_DataSheet_PY2!AC2:AC71)</f>
        <v>157391.19494804266</v>
      </c>
      <c r="E13" s="140">
        <f>SUMIF(GT_Cost_DataSheet_PY2!P2:P71, "OPSCOORD", GT_Cost_DataSheet_PY2!AD2:AD71)+SUMIF(GT_Cost_DataSheet_PY2!P2:P71, "OPSCOORD", GT_Cost_DataSheet_PY2!AF2:AF71)</f>
        <v>93039.730948042619</v>
      </c>
      <c r="F13" s="141">
        <f>SUMIF(GT_Cost_DataSheet_PY2!P2:P71, "OPSCOORD", GT_Cost_DataSheet_PY2!AE2:AE71)</f>
        <v>121727.99789608529</v>
      </c>
    </row>
    <row r="14" spans="1:6">
      <c r="A14" s="130" t="s">
        <v>316</v>
      </c>
      <c r="B14" s="139">
        <f>SUMIF(GT_Cost_DataSheet_PY2!P2:P71, "TECHCOORD", GT_Cost_DataSheet_PY2!X2:X71)</f>
        <v>15.527936507936507</v>
      </c>
      <c r="C14" s="140">
        <f>SUMIF(GT_Cost_DataSheet_PY2!P2:P71, "TECHCOORD", GT_Cost_DataSheet_PY2!AB2:AB71)</f>
        <v>139370.084</v>
      </c>
      <c r="D14" s="140">
        <f>SUMIF(GT_Cost_DataSheet_PY2!P2:P71, "TECHCOORD", GT_Cost_DataSheet_PY2!AC2:AC71)</f>
        <v>80933.531000000003</v>
      </c>
      <c r="E14" s="140">
        <f>SUMIF(GT_Cost_DataSheet_PY2!P2:P71, "TECHCOORD", GT_Cost_DataSheet_PY2!AD2:AD71)+SUMIF(GT_Cost_DataSheet_PY2!P2:P71, "TECHCOORD", GT_Cost_DataSheet_PY2!AF2:AF71)</f>
        <v>34842.521000000008</v>
      </c>
      <c r="F14" s="141">
        <f>SUMIF(GT_Cost_DataSheet_PY2!P2:P71, "TECHCOORD", GT_Cost_DataSheet_PY2!AE2:AE71)</f>
        <v>23594.031999999996</v>
      </c>
    </row>
    <row r="15" spans="1:6">
      <c r="A15" s="130" t="s">
        <v>115</v>
      </c>
      <c r="B15" s="139">
        <f>SUMIF(GT_Cost_DataSheet_PY2!P2:P71, "SECCORD", GT_Cost_DataSheet_PY2!X2:X71)</f>
        <v>15.906909765767399</v>
      </c>
      <c r="C15" s="140">
        <f>SUMIF(GT_Cost_DataSheet_PY2!P2:P71, "SECCORD", GT_Cost_DataSheet_PY2!AB2:AB71)</f>
        <v>121105.48149999999</v>
      </c>
      <c r="D15" s="140">
        <f>SUMIF(GT_Cost_DataSheet_PY2!P2:P71, "SECCORD", GT_Cost_DataSheet_PY2!AC2:AC71)</f>
        <v>30276.370374999999</v>
      </c>
      <c r="E15" s="140">
        <f>SUMIF(GT_Cost_DataSheet_PY2!P2:P71, "SECCORD", GT_Cost_DataSheet_PY2!AD2:AD71)+SUMIF(GT_Cost_DataSheet_PY2!P2:P71, "SECCORD", GT_Cost_DataSheet_PY2!AF2:AF71)</f>
        <v>30276.370374999999</v>
      </c>
      <c r="F15" s="141">
        <f>SUMIF(GT_Cost_DataSheet_PY2!P2:P71, "SECCORD", GT_Cost_DataSheet_PY2!AE2:AE71)</f>
        <v>60552.740749999997</v>
      </c>
    </row>
    <row r="16" spans="1:6">
      <c r="A16" s="130" t="s">
        <v>396</v>
      </c>
      <c r="B16" s="139">
        <f>SUMIF(GT_Cost_DataSheet_PY2!P2:P71, "SPECCON", GT_Cost_DataSheet_PY2!X2:X71)</f>
        <v>0</v>
      </c>
      <c r="C16" s="140">
        <f>SUMIF(GT_Cost_DataSheet_PY2!P2:P71, "SPECCON", GT_Cost_DataSheet_PY2!AB2:AB71)</f>
        <v>0</v>
      </c>
      <c r="D16" s="140">
        <f>SUMIF(GT_Cost_DataSheet_PY2!P2:P71, "SPECCON", GT_Cost_DataSheet_PY2!AC2:AC71)</f>
        <v>0</v>
      </c>
      <c r="E16" s="140">
        <f>SUMIF(GT_Cost_DataSheet_PY2!P2:P71, "SPECCON", GT_Cost_DataSheet_PY2!AD2:AD71)+SUMIF(GT_Cost_DataSheet_PY2!P2:P71, "SPECCON", GT_Cost_DataSheet_PY2!AF2:AF71)</f>
        <v>0</v>
      </c>
      <c r="F16" s="141">
        <f>SUMIF(GT_Cost_DataSheet_PY2!P2:P71, "SPECCON", GT_Cost_DataSheet_PY2!AE2:AE71)</f>
        <v>0</v>
      </c>
    </row>
    <row r="17" spans="1:7">
      <c r="A17" s="130" t="s">
        <v>397</v>
      </c>
      <c r="B17" s="139">
        <f>SUMIF(GT_Cost_DataSheet_PY2!P2:P71, "MRDA", GT_Cost_DataSheet_PY2!X2:X71)</f>
        <v>43.56</v>
      </c>
      <c r="C17" s="140">
        <f>SUMIF(GT_Cost_DataSheet_PY2!P2:P71, "MRDA", GT_Cost_DataSheet_PY2!AB2:AB71)</f>
        <v>303624.95049089589</v>
      </c>
      <c r="D17" s="140">
        <f>SUMIF(GT_Cost_DataSheet_PY2!P2:P71, "MRDA", GT_Cost_DataSheet_PY2!AC2:AC71)</f>
        <v>227718.71286817192</v>
      </c>
      <c r="E17" s="140">
        <f>SUMIF(GT_Cost_DataSheet_PY2!P2:P71, "MRDA", GT_Cost_DataSheet_PY2!AD2:AD71)+SUMIF(GT_Cost_DataSheet_PY2!P2:P71, "MRDA", GT_Cost_DataSheet_PY2!AF2:AF71)</f>
        <v>75906.237622723973</v>
      </c>
      <c r="F17" s="141">
        <f>SUMIF(GT_Cost_DataSheet_PY2!P2:P71, "MRDA", GT_Cost_DataSheet_PY2!AE2:AE71)</f>
        <v>0</v>
      </c>
    </row>
    <row r="18" spans="1:7">
      <c r="A18" s="130" t="s">
        <v>329</v>
      </c>
      <c r="B18" s="139">
        <f>SUMIF(GT_Cost_DataSheet_PY2!P2:P71, "POLDEV", GT_Cost_DataSheet_PY2!X2:X71)</f>
        <v>5.0095003142677568</v>
      </c>
      <c r="C18" s="140">
        <f>SUMIF(GT_Cost_DataSheet_PY2!P2:P71, "POLDEV", GT_Cost_DataSheet_PY2!AB2:AB71)</f>
        <v>101813.432</v>
      </c>
      <c r="D18" s="140">
        <f>SUMIF(GT_Cost_DataSheet_PY2!P2:P71, "POLDEV", GT_Cost_DataSheet_PY2!AC2:AC71)</f>
        <v>25453.358</v>
      </c>
      <c r="E18" s="140">
        <f>SUMIF(GT_Cost_DataSheet_PY2!P2:P71, "POLDEV", GT_Cost_DataSheet_PY2!AD2:AD71)+SUMIF(GT_Cost_DataSheet_PY2!P2:P71, "POLDEV", GT_Cost_DataSheet_PY2!AF2:AF71)</f>
        <v>25453.358</v>
      </c>
      <c r="F18" s="141">
        <f>SUMIF(GT_Cost_DataSheet_PY2!P2:P71, "POLDEV", GT_Cost_DataSheet_PY2!AE2:AE71)</f>
        <v>50906.715999999993</v>
      </c>
    </row>
    <row r="19" spans="1:7">
      <c r="A19" s="130" t="s">
        <v>398</v>
      </c>
      <c r="B19" s="139">
        <f>SUMIF(GT_Cost_DataSheet_PY2!P2:P71, "TECHCONSUP", GT_Cost_DataSheet_PY2!X2:X71)</f>
        <v>39.840000000000003</v>
      </c>
      <c r="C19" s="140">
        <f>SUMIF(GT_Cost_DataSheet_PY2!P2:P71, "TECHCONSUP", GT_Cost_DataSheet_PY2!AB2:AB71)</f>
        <v>268198.62935808941</v>
      </c>
      <c r="D19" s="140">
        <f>SUMIF(GT_Cost_DataSheet_PY2!P2:P71, "TECHCONSUP", GT_Cost_DataSheet_PY2!AC2:AC71)</f>
        <v>201148.97201856706</v>
      </c>
      <c r="E19" s="140">
        <f>SUMIF(GT_Cost_DataSheet_PY2!P2:P71, "TECHCONSUP", GT_Cost_DataSheet_PY2!AD2:AD71)+SUMIF(GT_Cost_DataSheet_PY2!P2:P71, "TECHCONSUP", GT_Cost_DataSheet_PY2!AF2:AF71)</f>
        <v>67049.657339522353</v>
      </c>
      <c r="F19" s="141">
        <f>SUMIF(GT_Cost_DataSheet_PY2!P2:P71, "TECHCONSUP", GT_Cost_DataSheet_PY2!AE2:AE71)</f>
        <v>0</v>
      </c>
    </row>
    <row r="20" spans="1:7">
      <c r="A20" s="130" t="s">
        <v>339</v>
      </c>
      <c r="B20" s="139">
        <f>SUMIF(GT_Cost_DataSheet_PY2!P2:P71, "HELPSUPP", GT_Cost_DataSheet_PY2!X2:X71)</f>
        <v>64.733281964349942</v>
      </c>
      <c r="C20" s="140">
        <f>SUMIF(GT_Cost_DataSheet_PY2!P2:P71, "HELPSUPP", GT_Cost_DataSheet_PY2!AB2:AB71)</f>
        <v>504782.64292531996</v>
      </c>
      <c r="D20" s="140">
        <f>SUMIF(GT_Cost_DataSheet_PY2!P2:P71, "HELPSUPP", GT_Cost_DataSheet_PY2!AC2:AC71)</f>
        <v>126195.66073132999</v>
      </c>
      <c r="E20" s="140">
        <f>SUMIF(GT_Cost_DataSheet_PY2!P2:P71, "HELPSUPP", GT_Cost_DataSheet_PY2!AD2:AD71)+SUMIF(GT_Cost_DataSheet_PY2!P2:P71, "HELPSUPP", GT_Cost_DataSheet_PY2!AF2:AF71)</f>
        <v>126195.66073132999</v>
      </c>
      <c r="F20" s="141">
        <f>SUMIF(GT_Cost_DataSheet_PY2!P2:P71, "HELPSUPP", GT_Cost_DataSheet_PY2!AE2:AE71)</f>
        <v>252391.32146266001</v>
      </c>
    </row>
    <row r="21" spans="1:7">
      <c r="A21" s="130" t="s">
        <v>399</v>
      </c>
      <c r="B21" s="139">
        <f>SUMIF(GT_Cost_DataSheet_PY2!P2:P71, "MARKET", GT_Cost_DataSheet_PY2!X2:X71)</f>
        <v>31.349999999999994</v>
      </c>
      <c r="C21" s="140">
        <f>SUMIF(GT_Cost_DataSheet_PY2!P2:P71, "MARKET", GT_Cost_DataSheet_PY2!AB2:AB71)</f>
        <v>193097.14897450799</v>
      </c>
      <c r="D21" s="140">
        <f>SUMIF(GT_Cost_DataSheet_PY2!P2:P71, "MARKET", GT_Cost_DataSheet_PY2!AC2:AC71)</f>
        <v>144822.86173088098</v>
      </c>
      <c r="E21" s="140">
        <f>SUMIF(GT_Cost_DataSheet_PY2!P2:P71, "MARKET", GT_Cost_DataSheet_PY2!AD2:AD71)+SUMIF(GT_Cost_DataSheet_PY2!P2:P71, "MARKET", GT_Cost_DataSheet_PY2!AF2:AF71)</f>
        <v>48274.287243627012</v>
      </c>
      <c r="F21" s="141">
        <f>SUMIF(GT_Cost_DataSheet_PY2!P2:P71, "MARKET", GT_Cost_DataSheet_PY2!AE2:AE71)</f>
        <v>0</v>
      </c>
    </row>
    <row r="22" spans="1:7">
      <c r="A22" s="130" t="s">
        <v>28</v>
      </c>
      <c r="B22" s="139">
        <f>SUMIF(GT_Cost_DataSheet_PY2!P2:P71, "OUT", GT_Cost_DataSheet_PY2!X2:X71)</f>
        <v>28.164814348646949</v>
      </c>
      <c r="C22" s="140">
        <f>SUMIF(GT_Cost_DataSheet_PY2!P2:P71, "OUT", GT_Cost_DataSheet_PY2!AB2:AB71)</f>
        <v>231806.65837650641</v>
      </c>
      <c r="D22" s="140">
        <f>SUMIF(GT_Cost_DataSheet_PY2!P2:P71, "OUT", GT_Cost_DataSheet_PY2!AC2:AC71)</f>
        <v>162409.57618237979</v>
      </c>
      <c r="E22" s="140">
        <f>SUMIF(GT_Cost_DataSheet_PY2!P2:P71, "OUT", GT_Cost_DataSheet_PY2!AD2:AD71)+SUMIF(GT_Cost_DataSheet_PY2!P2:P71, "OUT", GT_Cost_DataSheet_PY2!AF2:AF71)</f>
        <v>57951.664594126596</v>
      </c>
      <c r="F22" s="141">
        <f>SUMIF(GT_Cost_DataSheet_PY2!P2:P71, "OUT", GT_Cost_DataSheet_PY2!AE2:AE71)</f>
        <v>11445.417600000001</v>
      </c>
    </row>
    <row r="23" spans="1:7">
      <c r="A23" s="130" t="s">
        <v>237</v>
      </c>
      <c r="B23" s="139">
        <f>SUMIF(GT_Cost_DataSheet_PY2!P2:P71, "TMP", GT_Cost_DataSheet_PY2!X2:X71)</f>
        <v>5.9552734129478235</v>
      </c>
      <c r="C23" s="140">
        <f>SUMIF(GT_Cost_DataSheet_PY2!P2:P71, "TMP", GT_Cost_DataSheet_PY2!AB2:AB71)</f>
        <v>34204.970999999998</v>
      </c>
      <c r="D23" s="140">
        <f>SUMIF(GT_Cost_DataSheet_PY2!P2:P71, "TMP", GT_Cost_DataSheet_PY2!AC2:AC71)</f>
        <v>8551.2427499999994</v>
      </c>
      <c r="E23" s="140">
        <f>SUMIF(GT_Cost_DataSheet_PY2!P2:P71, "TMP", GT_Cost_DataSheet_PY2!AD2:AD71)+SUMIF(GT_Cost_DataSheet_PY2!P2:P71, "TMP", GT_Cost_DataSheet_PY2!AF2:AF71)</f>
        <v>8551.2427499999994</v>
      </c>
      <c r="F23" s="141">
        <f>SUMIF(GT_Cost_DataSheet_PY2!P2:P71, "TMP", GT_Cost_DataSheet_PY2!AE2:AE71)</f>
        <v>17102.485500000003</v>
      </c>
    </row>
    <row r="24" spans="1:7">
      <c r="A24" s="130" t="s">
        <v>148</v>
      </c>
      <c r="B24" s="139">
        <f>SUMIF(GT_Cost_DataSheet_PY2!P2:P71, "APPDB", GT_Cost_DataSheet_PY2!X2:X71)</f>
        <v>7.9315047619047556</v>
      </c>
      <c r="C24" s="140">
        <f>SUMIF(GT_Cost_DataSheet_PY2!P2:P71, "APPDB", GT_Cost_DataSheet_PY2!AB2:AB71)</f>
        <v>66065.84</v>
      </c>
      <c r="D24" s="140">
        <f>SUMIF(GT_Cost_DataSheet_PY2!P2:P71, "APPDB", GT_Cost_DataSheet_PY2!AC2:AC71)</f>
        <v>16516.46</v>
      </c>
      <c r="E24" s="140">
        <f>SUMIF(GT_Cost_DataSheet_PY2!P2:P71, "APPDB", GT_Cost_DataSheet_PY2!AD2:AD71)+SUMIF(GT_Cost_DataSheet_PY2!P2:P71, "APPDB", GT_Cost_DataSheet_PY2!AF2:AF71)</f>
        <v>16516.46</v>
      </c>
      <c r="F24" s="141">
        <f>SUMIF(GT_Cost_DataSheet_PY2!P2:P71, "APPDB", GT_Cost_DataSheet_PY2!AE2:AE71)</f>
        <v>33032.92</v>
      </c>
    </row>
    <row r="25" spans="1:7">
      <c r="A25" s="130" t="s">
        <v>356</v>
      </c>
      <c r="B25" s="139">
        <f>SUMIF(GT_Cost_DataSheet_PY2!P2:P71, "VALSOFTREPO", GT_Cost_DataSheet_PY2!X2:X71)</f>
        <v>73.770112120266617</v>
      </c>
      <c r="C25" s="140">
        <f>SUMIF(GT_Cost_DataSheet_PY2!P2:P71, "VALSOFTREPO", GT_Cost_DataSheet_PY2!AB2:AB71)</f>
        <v>403066.08287149499</v>
      </c>
      <c r="D25" s="140">
        <f>SUMIF(GT_Cost_DataSheet_PY2!P2:P71, "VALSOFTREPO", GT_Cost_DataSheet_PY2!AC2:AC71)</f>
        <v>100766.52071787375</v>
      </c>
      <c r="E25" s="140">
        <f>SUMIF(GT_Cost_DataSheet_PY2!P2:P71, "VALSOFTREPO", GT_Cost_DataSheet_PY2!AD2:AD71)+SUMIF(GT_Cost_DataSheet_PY2!P2:P71, "VALSOFTREPO", GT_Cost_DataSheet_PY2!AF2:AF71)</f>
        <v>100766.52071787375</v>
      </c>
      <c r="F25" s="141">
        <f>SUMIF(GT_Cost_DataSheet_PY2!P2:P71, "VALSOFTREPO", GT_Cost_DataSheet_PY2!AE2:AE71)</f>
        <v>201533.04143574752</v>
      </c>
    </row>
    <row r="26" spans="1:7">
      <c r="A26" s="130" t="s">
        <v>359</v>
      </c>
      <c r="B26" s="139">
        <f>SUMIF(GT_Cost_DataSheet_PY2!P2:P71, "CORETECH", GT_Cost_DataSheet_PY2!X2:X71)</f>
        <v>119.51931902317328</v>
      </c>
      <c r="C26" s="140">
        <f>SUMIF(GT_Cost_DataSheet_PY2!P2:P71, "CORETECH", GT_Cost_DataSheet_PY2!AB2:AB71)</f>
        <v>1250191.5243099348</v>
      </c>
      <c r="D26" s="140">
        <f>SUMIF(GT_Cost_DataSheet_PY2!P2:P71, "CORETECH", GT_Cost_DataSheet_PY2!AC2:AC71)</f>
        <v>350064.87845981051</v>
      </c>
      <c r="E26" s="140">
        <f>SUMIF(GT_Cost_DataSheet_PY2!P2:P71, "CORETECH", GT_Cost_DataSheet_PY2!AD2:AD71)+SUMIF(GT_Cost_DataSheet_PY2!P2:P71, "CORETECH", GT_Cost_DataSheet_PY2!AF2:AF71)</f>
        <v>311642.05110693903</v>
      </c>
      <c r="F26" s="141">
        <f>SUMIF(GT_Cost_DataSheet_PY2!P2:P71, "CORETECH", GT_Cost_DataSheet_PY2!AE2:AE71)</f>
        <v>590495.8715431852</v>
      </c>
    </row>
    <row r="27" spans="1:7" ht="19" thickBot="1">
      <c r="A27" s="142"/>
      <c r="B27" s="143">
        <f>SUM(B12:B26)</f>
        <v>582.71307518731578</v>
      </c>
      <c r="C27" s="135">
        <f t="shared" ref="C27:F27" si="1">SUM(C12:C26)</f>
        <v>4753163.5895989202</v>
      </c>
      <c r="D27" s="135">
        <f t="shared" si="1"/>
        <v>2204483.7596733812</v>
      </c>
      <c r="E27" s="135">
        <f t="shared" si="1"/>
        <v>1140545.0345378607</v>
      </c>
      <c r="F27" s="136">
        <f t="shared" si="1"/>
        <v>1410146.072187678</v>
      </c>
    </row>
    <row r="28" spans="1:7" ht="19" thickBot="1"/>
    <row r="29" spans="1:7" ht="20">
      <c r="A29" s="138" t="s">
        <v>506</v>
      </c>
      <c r="B29" s="127"/>
      <c r="C29" s="127"/>
      <c r="D29" s="127"/>
      <c r="E29" s="127"/>
      <c r="F29" s="127"/>
      <c r="G29" s="128"/>
    </row>
    <row r="30" spans="1:7">
      <c r="A30" s="130"/>
      <c r="B30" s="131" t="s">
        <v>302</v>
      </c>
      <c r="C30" s="131" t="s">
        <v>449</v>
      </c>
      <c r="D30" s="131" t="s">
        <v>384</v>
      </c>
      <c r="E30" s="131" t="s">
        <v>463</v>
      </c>
      <c r="F30" s="131" t="s">
        <v>304</v>
      </c>
      <c r="G30" s="132" t="s">
        <v>447</v>
      </c>
    </row>
    <row r="31" spans="1:7">
      <c r="A31" s="130" t="s">
        <v>448</v>
      </c>
      <c r="B31" s="140">
        <f>SUMIFS(Cost_Breakdown_ActivityandType!J2:J154,Cost_Breakdown_ActivityandType!F2:F154,"=COORD",Cost_Breakdown_ActivityandType!G2:G154,"=CRI")</f>
        <v>347161.87464687845</v>
      </c>
      <c r="C31" s="140">
        <f>SUMIFS(Cost_Breakdown_ActivityandType!J2:J154,Cost_Breakdown_ActivityandType!F2:F154,"=SUP",Cost_Breakdown_ActivityandType!G2:G154,"=CRI")</f>
        <v>489864.96931899001</v>
      </c>
      <c r="D31" s="140">
        <f>SUMIFS(Cost_Breakdown_ActivityandType!J2:J154,Cost_Breakdown_ActivityandType!F2:F154,"=OPS",Cost_Breakdown_ActivityandType!G2:G154,"=CRI")</f>
        <v>677180.26900118683</v>
      </c>
      <c r="E31" s="140">
        <f>SUMIFS(Cost_Breakdown_ActivityandType!J2:J154,Cost_Breakdown_ActivityandType!F2:F154,"=MAINT",Cost_Breakdown_ActivityandType!G2:G154,"=CRI")</f>
        <v>261722.51851200004</v>
      </c>
      <c r="F31" s="140">
        <f>SUMIFS(Cost_Breakdown_ActivityandType!J2:J154,Cost_Breakdown_ActivityandType!F2:F154,"=DEV",Cost_Breakdown_ActivityandType!G2:G154,"=CRI")</f>
        <v>0</v>
      </c>
      <c r="G31" s="168">
        <f>SUM(B31:F31)</f>
        <v>1775929.6314790554</v>
      </c>
    </row>
    <row r="32" spans="1:7">
      <c r="A32" s="130" t="s">
        <v>492</v>
      </c>
      <c r="B32" s="140">
        <f>SUMIFS(Cost_Breakdown_ActivityandType!J2:J154,Cost_Breakdown_ActivityandType!F2:F154,"=COORD",Cost_Breakdown_ActivityandType!G2:G154,"=DEG")</f>
        <v>237782.42942169783</v>
      </c>
      <c r="C32" s="140">
        <f>SUMIFS(Cost_Breakdown_ActivityandType!J2:J154,Cost_Breakdown_ActivityandType!F2:F154,"=SUP",Cost_Breakdown_ActivityandType!G2:G154,"=DEG")</f>
        <v>772294.66267871659</v>
      </c>
      <c r="D32" s="140">
        <f>SUMIFS(Cost_Breakdown_ActivityandType!J2:J154,Cost_Breakdown_ActivityandType!F2:F154,"=OPS",Cost_Breakdown_ActivityandType!G2:G154,"=DEG")</f>
        <v>13213.168</v>
      </c>
      <c r="E32" s="140">
        <f>SUMIFS(Cost_Breakdown_ActivityandType!J2:J154,Cost_Breakdown_ActivityandType!F2:F154,"=MAINT",Cost_Breakdown_ActivityandType!G2:G154,"=DEG")</f>
        <v>0</v>
      </c>
      <c r="F32" s="140">
        <f>SUMIFS(Cost_Breakdown_ActivityandType!J2:J154,Cost_Breakdown_ActivityandType!F2:F154,"=DEV",Cost_Breakdown_ActivityandType!G2:G154,"=DEG")</f>
        <v>369291.6271182429</v>
      </c>
      <c r="G32" s="168">
        <f t="shared" ref="G32:G34" si="2">SUM(B32:F32)</f>
        <v>1392581.8872186574</v>
      </c>
    </row>
    <row r="33" spans="1:7">
      <c r="A33" s="130" t="s">
        <v>494</v>
      </c>
      <c r="B33" s="140">
        <f>SUMIFS(Cost_Breakdown_ActivityandType!J2:J154,Cost_Breakdown_ActivityandType!F2:F154,"=COORD",Cost_Breakdown_ActivityandType!G2:G154,"=NGR")</f>
        <v>74159.246948042637</v>
      </c>
      <c r="C33" s="140">
        <f>SUMIFS(Cost_Breakdown_ActivityandType!J2:J154,Cost_Breakdown_ActivityandType!F2:F154,"=SUP",Cost_Breakdown_ActivityandType!G2:G154,"=NGR")</f>
        <v>715151.02105215029</v>
      </c>
      <c r="D33" s="140">
        <f>SUMIFS(Cost_Breakdown_ActivityandType!J2:J154,Cost_Breakdown_ActivityandType!F2:F154,"=OPS",Cost_Breakdown_ActivityandType!G2:G154,"=NGR")</f>
        <v>33488.072119999997</v>
      </c>
      <c r="E33" s="140">
        <f>SUMIFS(Cost_Breakdown_ActivityandType!J2:J154,Cost_Breakdown_ActivityandType!F2:F154,"=MAINT",Cost_Breakdown_ActivityandType!G2:G154,"=NGR")</f>
        <v>8052.8025600000001</v>
      </c>
      <c r="F33" s="140">
        <f>SUMIFS(Cost_Breakdown_ActivityandType!J2:J154,Cost_Breakdown_ActivityandType!F2:F154,"=DEV",Cost_Breakdown_ActivityandType!G2:G154,"=NGR")</f>
        <v>112725.33231999999</v>
      </c>
      <c r="G33" s="168">
        <f t="shared" si="2"/>
        <v>943576.47500019288</v>
      </c>
    </row>
    <row r="34" spans="1:7">
      <c r="A34" s="130" t="s">
        <v>495</v>
      </c>
      <c r="B34" s="140">
        <f>SUMIFS(Cost_Breakdown_ActivityandType!J2:J154,Cost_Breakdown_ActivityandType!F2:F154,"=COORD",Cost_Breakdown_ActivityandType!G2:G154,"=NO")</f>
        <v>1444.5</v>
      </c>
      <c r="C34" s="140">
        <f>SUMIFS(Cost_Breakdown_ActivityandType!J2:J154,Cost_Breakdown_ActivityandType!F2:F154,"=SUP",Cost_Breakdown_ActivityandType!G2:G154,"=NO")</f>
        <v>4333.5</v>
      </c>
      <c r="D34" s="140">
        <f>SUMIFS(Cost_Breakdown_ActivityandType!J2:J154,Cost_Breakdown_ActivityandType!F2:F154,"=OPS",Cost_Breakdown_ActivityandType!G2:G154,"=NO")</f>
        <v>0</v>
      </c>
      <c r="E34" s="140">
        <f>SUMIFS(Cost_Breakdown_ActivityandType!J2:J154,Cost_Breakdown_ActivityandType!F2:F154,"=MAINT",Cost_Breakdown_ActivityandType!G2:G154,"=NO")</f>
        <v>0</v>
      </c>
      <c r="F34" s="140">
        <f>SUMIFS(Cost_Breakdown_ActivityandType!J2:J154,Cost_Breakdown_ActivityandType!F2:F154,"=DEV",Cost_Breakdown_ActivityandType!G2:G154,"=NO")</f>
        <v>0</v>
      </c>
      <c r="G34" s="168">
        <f t="shared" si="2"/>
        <v>5778</v>
      </c>
    </row>
    <row r="35" spans="1:7" ht="19" thickBot="1">
      <c r="A35" s="166" t="s">
        <v>447</v>
      </c>
      <c r="B35" s="167">
        <f t="shared" ref="B35:G35" si="3">SUM(B31:B34)</f>
        <v>660548.05101661896</v>
      </c>
      <c r="C35" s="167">
        <f t="shared" si="3"/>
        <v>1981644.1530498569</v>
      </c>
      <c r="D35" s="167">
        <f t="shared" si="3"/>
        <v>723881.5091211868</v>
      </c>
      <c r="E35" s="167">
        <f t="shared" si="3"/>
        <v>269775.32107200002</v>
      </c>
      <c r="F35" s="167">
        <f t="shared" si="3"/>
        <v>482016.95943824289</v>
      </c>
      <c r="G35" s="148">
        <f t="shared" si="3"/>
        <v>4117865.9936979054</v>
      </c>
    </row>
    <row r="36" spans="1:7" ht="19" thickBot="1"/>
    <row r="37" spans="1:7" ht="20">
      <c r="A37" s="138" t="s">
        <v>450</v>
      </c>
      <c r="B37" s="127"/>
      <c r="C37" s="128"/>
      <c r="D37" s="165"/>
      <c r="E37" s="165"/>
      <c r="F37" s="165"/>
      <c r="G37" s="165"/>
    </row>
    <row r="38" spans="1:7">
      <c r="A38" s="130"/>
      <c r="B38" s="131" t="s">
        <v>281</v>
      </c>
      <c r="C38" s="132" t="s">
        <v>249</v>
      </c>
    </row>
    <row r="39" spans="1:7">
      <c r="A39" s="130" t="s">
        <v>451</v>
      </c>
      <c r="B39" s="139">
        <f ca="1">SUMIF(Cost_Breakdown_ActivityandType!H2:H154, "MEM", Cost_Breakdown_ActivityandType!I2:I34)</f>
        <v>0</v>
      </c>
      <c r="C39" s="141">
        <f>SUMIF(Cost_Breakdown_ActivityandType!H2:H154, "MEM", Cost_Breakdown_ActivityandType!J2:J154)</f>
        <v>0</v>
      </c>
    </row>
    <row r="40" spans="1:7">
      <c r="A40" s="130" t="s">
        <v>452</v>
      </c>
      <c r="B40" s="139">
        <f>SUMIF(Cost_Breakdown_ActivityandType!H2:H154, "PRJ", Cost_Breakdown_ActivityandType!I2:I154)</f>
        <v>0</v>
      </c>
      <c r="C40" s="141">
        <f>SUMIF(Cost_Breakdown_ActivityandType!H2:H154, "PRJ", Cost_Breakdown_ActivityandType!J2:J154)</f>
        <v>0</v>
      </c>
    </row>
    <row r="41" spans="1:7">
      <c r="A41" s="130" t="s">
        <v>453</v>
      </c>
      <c r="B41" s="139">
        <f>SUMIF(Cost_Breakdown_ActivityandType!H2:H154, "INK", Cost_Breakdown_ActivityandType!I2:I154)</f>
        <v>0</v>
      </c>
      <c r="C41" s="141">
        <f>SUMIF(Cost_Breakdown_ActivityandType!H2:H154, "INK", Cost_Breakdown_ActivityandType!J2:J154)</f>
        <v>0</v>
      </c>
    </row>
    <row r="42" spans="1:7">
      <c r="A42" s="130" t="s">
        <v>454</v>
      </c>
      <c r="B42" s="139">
        <f>SUMIF(Cost_Breakdown_ActivityandType!H2:H154, "DIR", Cost_Breakdown_ActivityandType!I2:I154)</f>
        <v>0</v>
      </c>
      <c r="C42" s="141">
        <f>SUMIF(Cost_Breakdown_ActivityandType!H2:H154, "DIR", Cost_Breakdown_ActivityandType!J2:J154)</f>
        <v>0</v>
      </c>
    </row>
    <row r="43" spans="1:7">
      <c r="A43" s="130" t="s">
        <v>230</v>
      </c>
      <c r="B43" s="139">
        <f>SUMIF(Cost_Breakdown_ActivityandType!H2:H154, "OTH", Cost_Breakdown_ActivityandType!I2:I154)</f>
        <v>0</v>
      </c>
      <c r="C43" s="141">
        <f>SUMIF(Cost_Breakdown_ActivityandType!H2:H154, "OTH", Cost_Breakdown_ActivityandType!J2:J154)</f>
        <v>0</v>
      </c>
    </row>
    <row r="44" spans="1:7" ht="19" thickBot="1">
      <c r="A44" s="166" t="s">
        <v>447</v>
      </c>
      <c r="B44" s="143">
        <f ca="1">SUM(B39:B43)</f>
        <v>0</v>
      </c>
      <c r="C44" s="148">
        <f>SUM(C39:C43)</f>
        <v>0</v>
      </c>
    </row>
    <row r="45" spans="1:7">
      <c r="A45" s="165"/>
      <c r="B45" s="165"/>
      <c r="C45" s="165"/>
      <c r="D45" s="165"/>
      <c r="E45" s="165"/>
      <c r="F45" s="165"/>
      <c r="G45" s="165"/>
    </row>
  </sheetData>
  <pageMargins left="0.75" right="0.75" top="1" bottom="1" header="0.5" footer="0.5"/>
  <pageSetup paperSize="9" orientation="portrait" horizontalDpi="4294967292" verticalDpi="4294967292"/>
  <ignoredErrors>
    <ignoredError sqref="B4:D4 F4 B13:F13"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L1048571"/>
  <sheetViews>
    <sheetView zoomScale="125" zoomScaleNormal="125" zoomScalePageLayoutView="125" workbookViewId="0">
      <pane ySplit="1" topLeftCell="A2" activePane="bottomLeft" state="frozen"/>
      <selection pane="bottomLeft"/>
    </sheetView>
  </sheetViews>
  <sheetFormatPr baseColWidth="10" defaultColWidth="10.83203125" defaultRowHeight="14" x14ac:dyDescent="0.75"/>
  <cols>
    <col min="1" max="1" width="4.33203125" style="120" customWidth="1"/>
    <col min="2" max="2" width="25.33203125" style="24" bestFit="1" customWidth="1"/>
    <col min="3" max="3" width="35.33203125" style="24" customWidth="1"/>
    <col min="4" max="4" width="48" style="24" bestFit="1" customWidth="1"/>
    <col min="5" max="5" width="17.1640625" style="120" bestFit="1" customWidth="1"/>
    <col min="6" max="6" width="12.83203125" style="122" bestFit="1" customWidth="1"/>
    <col min="7" max="7" width="17.83203125" style="122" customWidth="1"/>
    <col min="8" max="8" width="22" style="118" bestFit="1" customWidth="1"/>
    <col min="9" max="9" width="10.5" style="24" bestFit="1" customWidth="1"/>
    <col min="10" max="10" width="16.5" style="24" customWidth="1"/>
    <col min="11" max="11" width="10.83203125" style="24"/>
    <col min="12" max="12" width="13.5" style="24" bestFit="1" customWidth="1"/>
    <col min="13" max="16384" width="10.83203125" style="24"/>
  </cols>
  <sheetData>
    <row r="1" spans="1:10" ht="76" thickBot="1">
      <c r="A1" s="170" t="s">
        <v>462</v>
      </c>
      <c r="B1" s="171" t="s">
        <v>306</v>
      </c>
      <c r="C1" s="171" t="s">
        <v>405</v>
      </c>
      <c r="D1" s="171" t="s">
        <v>406</v>
      </c>
      <c r="E1" s="171" t="s">
        <v>413</v>
      </c>
      <c r="F1" s="172" t="s">
        <v>464</v>
      </c>
      <c r="G1" s="172" t="s">
        <v>501</v>
      </c>
      <c r="H1" s="172" t="s">
        <v>411</v>
      </c>
      <c r="I1" s="171" t="s">
        <v>409</v>
      </c>
      <c r="J1" s="183" t="s">
        <v>410</v>
      </c>
    </row>
    <row r="2" spans="1:10" s="111" customFormat="1">
      <c r="A2" s="173">
        <v>1.1000000000000001</v>
      </c>
      <c r="B2" s="190" t="s">
        <v>140</v>
      </c>
      <c r="C2" s="190" t="s">
        <v>307</v>
      </c>
      <c r="D2" s="191" t="s">
        <v>310</v>
      </c>
      <c r="E2" s="192" t="s">
        <v>414</v>
      </c>
      <c r="F2" s="193" t="s">
        <v>302</v>
      </c>
      <c r="G2" s="193" t="s">
        <v>493</v>
      </c>
      <c r="H2" s="193"/>
      <c r="I2" s="194">
        <f>SUMPRODUCT(GT_Cost_DataSheet_PY2!$X$2:$X$71, --(GT_Cost_DataSheet_PY2!$Q$2:$Q$71=E2), (F2="OPS")*GT_Cost_DataSheet_PY2!$R$2:$R$71)+
SUMPRODUCT(GT_Cost_DataSheet_PY2!$X$2:$X$71, --(GT_Cost_DataSheet_PY2!$Q$2:$Q$71=E2), (F2="MAINT")*GT_Cost_DataSheet_PY2!$S$2:$S$71)+
SUMPRODUCT(GT_Cost_DataSheet_PY2!$X$2:$X$71, --(GT_Cost_DataSheet_PY2!$Q$2:$Q$71=E2), (F2="DEV")*GT_Cost_DataSheet_PY2!$T$2:$T$71)+
SUMPRODUCT(GT_Cost_DataSheet_PY2!$X$2:$X$71, --(GT_Cost_DataSheet_PY2!$Q$2:$Q$71=E2), (F2="COORD")*GT_Cost_DataSheet_PY2!$U$2:$U$71)+
SUMPRODUCT(GT_Cost_DataSheet_PY2!$X$2:$X$71, --(GT_Cost_DataSheet_PY2!$Q$2:$Q$71=E2), (F2="SUP")*GT_Cost_DataSheet_PY2!$V$2:$V$71)</f>
        <v>0</v>
      </c>
      <c r="J2" s="195">
        <f>SUMPRODUCT(GT_Cost_DataSheet_PY2!$AB$2:$AB$71, --(GT_Cost_DataSheet_PY2!$Q$2:$Q$71=E2), (F2="OPS")*GT_Cost_DataSheet_PY2!$R$2:$R$71)+SUMPRODUCT(GT_Cost_DataSheet_PY2!$AB$2:$AB$71, --(GT_Cost_DataSheet_PY2!$Q$2:$Q$71=E2), (F2="MAINT")*GT_Cost_DataSheet_PY2!$S$2:$S$71)+SUMPRODUCT(GT_Cost_DataSheet_PY2!$AB$2:$AB$71, --(GT_Cost_DataSheet_PY2!$Q$2:$Q$71=E2), (F2="DEV")*GT_Cost_DataSheet_PY2!$T$2:$T$71)+SUMPRODUCT(GT_Cost_DataSheet_PY2!$AB$2:$AB$71, --(GT_Cost_DataSheet_PY2!$Q$2:$Q$71=E2), (F2="COORD")*GT_Cost_DataSheet_PY2!$U$2:$U$71)+SUMPRODUCT(GT_Cost_DataSheet_PY2!$AB$2:$AB$71, --(GT_Cost_DataSheet_PY2!$Q$2:$Q$71=E2), (F2="SUP")*GT_Cost_DataSheet_PY2!$V$2:$V$71)</f>
        <v>0</v>
      </c>
    </row>
    <row r="3" spans="1:10" s="111" customFormat="1">
      <c r="A3" s="174">
        <v>1.1000000000000001</v>
      </c>
      <c r="B3" s="158" t="s">
        <v>140</v>
      </c>
      <c r="C3" s="158" t="s">
        <v>307</v>
      </c>
      <c r="D3" s="22" t="s">
        <v>310</v>
      </c>
      <c r="E3" s="159" t="s">
        <v>414</v>
      </c>
      <c r="F3" s="160" t="s">
        <v>449</v>
      </c>
      <c r="G3" s="160" t="s">
        <v>496</v>
      </c>
      <c r="H3" s="160"/>
      <c r="I3" s="161">
        <f>SUMPRODUCT(GT_Cost_DataSheet_PY2!$X$2:$X$71, --(GT_Cost_DataSheet_PY2!$Q$2:$Q$71=E3), (F3="OPS")*GT_Cost_DataSheet_PY2!$R$2:$R$71)+
SUMPRODUCT(GT_Cost_DataSheet_PY2!$X$2:$X$71, --(GT_Cost_DataSheet_PY2!$Q$2:$Q$71=E3), (F3="MAINT")*GT_Cost_DataSheet_PY2!$S$2:$S$71)+
SUMPRODUCT(GT_Cost_DataSheet_PY2!$X$2:$X$71, --(GT_Cost_DataSheet_PY2!$Q$2:$Q$71=E3), (F3="DEV")*GT_Cost_DataSheet_PY2!$T$2:$T$71)+
SUMPRODUCT(GT_Cost_DataSheet_PY2!$X$2:$X$71, --(GT_Cost_DataSheet_PY2!$Q$2:$Q$71=E3), (F3="COORD")*GT_Cost_DataSheet_PY2!$U$2:$U$71)+
SUMPRODUCT(GT_Cost_DataSheet_PY2!$X$2:$X$71, --(GT_Cost_DataSheet_PY2!$Q$2:$Q$71=E3), (F3="SUP")*GT_Cost_DataSheet_PY2!$V$2:$V$71)</f>
        <v>0</v>
      </c>
      <c r="J3" s="185">
        <f>SUMPRODUCT(GT_Cost_DataSheet_PY2!$AB$2:$AB$71, --(GT_Cost_DataSheet_PY2!$Q$2:$Q$71=E3), (F3="OPS")*GT_Cost_DataSheet_PY2!$R$2:$R$71)+SUMPRODUCT(GT_Cost_DataSheet_PY2!$AB$2:$AB$71, --(GT_Cost_DataSheet_PY2!$Q$2:$Q$71=E3), (F3="MAINT")*GT_Cost_DataSheet_PY2!$S$2:$S$71)+SUMPRODUCT(GT_Cost_DataSheet_PY2!$AB$2:$AB$71, --(GT_Cost_DataSheet_PY2!$Q$2:$Q$71=E3), (F3="DEV")*GT_Cost_DataSheet_PY2!$T$2:$T$71)+SUMPRODUCT(GT_Cost_DataSheet_PY2!$AB$2:$AB$71, --(GT_Cost_DataSheet_PY2!$Q$2:$Q$71=E3), (F3="COORD")*GT_Cost_DataSheet_PY2!$U$2:$U$71)+SUMPRODUCT(GT_Cost_DataSheet_PY2!$AB$2:$AB$71, --(GT_Cost_DataSheet_PY2!$Q$2:$Q$71=E3), (F3="SUP")*GT_Cost_DataSheet_PY2!$V$2:$V$71)</f>
        <v>0</v>
      </c>
    </row>
    <row r="4" spans="1:10" s="111" customFormat="1">
      <c r="A4" s="174">
        <v>1.1000000000000001</v>
      </c>
      <c r="B4" s="117" t="s">
        <v>140</v>
      </c>
      <c r="C4" s="117" t="s">
        <v>307</v>
      </c>
      <c r="D4" s="111" t="s">
        <v>311</v>
      </c>
      <c r="E4" s="119" t="s">
        <v>197</v>
      </c>
      <c r="F4" s="121" t="s">
        <v>302</v>
      </c>
      <c r="G4" s="121" t="s">
        <v>412</v>
      </c>
      <c r="H4" s="121"/>
      <c r="I4" s="123">
        <f>SUMPRODUCT(GT_Cost_DataSheet_PY2!$X$2:$X$71, --(GT_Cost_DataSheet_PY2!$Q$2:$Q$71=E4), (F4="OPS")*GT_Cost_DataSheet_PY2!$R$2:$R$71)+
SUMPRODUCT(GT_Cost_DataSheet_PY2!$X$2:$X$71, --(GT_Cost_DataSheet_PY2!$Q$2:$Q$71=E4), (F4="MAINT")*GT_Cost_DataSheet_PY2!$S$2:$S$71)+
SUMPRODUCT(GT_Cost_DataSheet_PY2!$X$2:$X$71, --(GT_Cost_DataSheet_PY2!$Q$2:$Q$71=E4), (F4="DEV")*GT_Cost_DataSheet_PY2!$T$2:$T$71)+
SUMPRODUCT(GT_Cost_DataSheet_PY2!$X$2:$X$71, --(GT_Cost_DataSheet_PY2!$Q$2:$Q$71=E4), (F4="COORD")*GT_Cost_DataSheet_PY2!$U$2:$U$71)+
SUMPRODUCT(GT_Cost_DataSheet_PY2!$X$2:$X$71, --(GT_Cost_DataSheet_PY2!$Q$2:$Q$71=E4), (F4="SUP")*GT_Cost_DataSheet_PY2!$V$2:$V$71)</f>
        <v>1.2974999999999999</v>
      </c>
      <c r="J4" s="184">
        <f>SUMPRODUCT(GT_Cost_DataSheet_PY2!$AB$2:$AB$71, --(GT_Cost_DataSheet_PY2!$Q$2:$Q$71=E4), (F4="OPS")*GT_Cost_DataSheet_PY2!$R$2:$R$71)+SUMPRODUCT(GT_Cost_DataSheet_PY2!$AB$2:$AB$71, --(GT_Cost_DataSheet_PY2!$Q$2:$Q$71=E4), (F4="MAINT")*GT_Cost_DataSheet_PY2!$S$2:$S$71)+SUMPRODUCT(GT_Cost_DataSheet_PY2!$AB$2:$AB$71, --(GT_Cost_DataSheet_PY2!$Q$2:$Q$71=E4), (F4="DEV")*GT_Cost_DataSheet_PY2!$T$2:$T$71)+SUMPRODUCT(GT_Cost_DataSheet_PY2!$AB$2:$AB$71, --(GT_Cost_DataSheet_PY2!$Q$2:$Q$71=E4), (F4="COORD")*GT_Cost_DataSheet_PY2!$U$2:$U$71)+SUMPRODUCT(GT_Cost_DataSheet_PY2!$AB$2:$AB$71, --(GT_Cost_DataSheet_PY2!$Q$2:$Q$71=E4), (F4="SUP")*GT_Cost_DataSheet_PY2!$V$2:$V$71)</f>
        <v>16270.712937033582</v>
      </c>
    </row>
    <row r="5" spans="1:10" s="111" customFormat="1">
      <c r="A5" s="174">
        <v>1.1000000000000001</v>
      </c>
      <c r="B5" s="117" t="s">
        <v>140</v>
      </c>
      <c r="C5" s="117" t="s">
        <v>307</v>
      </c>
      <c r="D5" s="111" t="s">
        <v>400</v>
      </c>
      <c r="E5" s="119" t="s">
        <v>368</v>
      </c>
      <c r="F5" s="121" t="s">
        <v>302</v>
      </c>
      <c r="G5" s="121" t="s">
        <v>412</v>
      </c>
      <c r="H5" s="121"/>
      <c r="I5" s="123">
        <f>SUMPRODUCT(GT_Cost_DataSheet_PY2!$X$2:$X$71, --(GT_Cost_DataSheet_PY2!$Q$2:$Q$71=E5), (F5="OPS")*GT_Cost_DataSheet_PY2!$R$2:$R$71)+
SUMPRODUCT(GT_Cost_DataSheet_PY2!$X$2:$X$71, --(GT_Cost_DataSheet_PY2!$Q$2:$Q$71=E5), (F5="MAINT")*GT_Cost_DataSheet_PY2!$S$2:$S$71)+
SUMPRODUCT(GT_Cost_DataSheet_PY2!$X$2:$X$71, --(GT_Cost_DataSheet_PY2!$Q$2:$Q$71=E5), (F5="DEV")*GT_Cost_DataSheet_PY2!$T$2:$T$71)+
SUMPRODUCT(GT_Cost_DataSheet_PY2!$X$2:$X$71, --(GT_Cost_DataSheet_PY2!$Q$2:$Q$71=E5), (F5="COORD")*GT_Cost_DataSheet_PY2!$U$2:$U$71)+
SUMPRODUCT(GT_Cost_DataSheet_PY2!$X$2:$X$71, --(GT_Cost_DataSheet_PY2!$Q$2:$Q$71=E5), (F5="SUP")*GT_Cost_DataSheet_PY2!$V$2:$V$71)</f>
        <v>1.9449999999999996</v>
      </c>
      <c r="J5" s="184">
        <f>SUMPRODUCT(GT_Cost_DataSheet_PY2!$AB$2:$AB$71, --(GT_Cost_DataSheet_PY2!$Q$2:$Q$71=E5), (F5="OPS")*GT_Cost_DataSheet_PY2!$R$2:$R$71)+SUMPRODUCT(GT_Cost_DataSheet_PY2!$AB$2:$AB$71, --(GT_Cost_DataSheet_PY2!$Q$2:$Q$71=E5), (F5="MAINT")*GT_Cost_DataSheet_PY2!$S$2:$S$71)+SUMPRODUCT(GT_Cost_DataSheet_PY2!$AB$2:$AB$71, --(GT_Cost_DataSheet_PY2!$Q$2:$Q$71=E5), (F5="DEV")*GT_Cost_DataSheet_PY2!$T$2:$T$71)+SUMPRODUCT(GT_Cost_DataSheet_PY2!$AB$2:$AB$71, --(GT_Cost_DataSheet_PY2!$Q$2:$Q$71=E5), (F5="COORD")*GT_Cost_DataSheet_PY2!$U$2:$U$71)+SUMPRODUCT(GT_Cost_DataSheet_PY2!$AB$2:$AB$71, --(GT_Cost_DataSheet_PY2!$Q$2:$Q$71=E5), (F5="SUP")*GT_Cost_DataSheet_PY2!$V$2:$V$71)</f>
        <v>21650.180263992541</v>
      </c>
    </row>
    <row r="6" spans="1:10" s="111" customFormat="1">
      <c r="A6" s="174">
        <v>1.1000000000000001</v>
      </c>
      <c r="B6" s="117" t="s">
        <v>140</v>
      </c>
      <c r="C6" s="117" t="s">
        <v>307</v>
      </c>
      <c r="D6" s="111" t="s">
        <v>309</v>
      </c>
      <c r="E6" s="119" t="s">
        <v>393</v>
      </c>
      <c r="F6" s="121" t="s">
        <v>302</v>
      </c>
      <c r="G6" s="121" t="s">
        <v>412</v>
      </c>
      <c r="H6" s="121"/>
      <c r="I6" s="123">
        <f>SUMPRODUCT(GT_Cost_DataSheet_PY2!$X$2:$X$71, --(GT_Cost_DataSheet_PY2!$Q$2:$Q$71=E6), (F6="OPS")*GT_Cost_DataSheet_PY2!$R$2:$R$71)+
SUMPRODUCT(GT_Cost_DataSheet_PY2!$X$2:$X$71, --(GT_Cost_DataSheet_PY2!$Q$2:$Q$71=E6), (F6="MAINT")*GT_Cost_DataSheet_PY2!$S$2:$S$71)+
SUMPRODUCT(GT_Cost_DataSheet_PY2!$X$2:$X$71, --(GT_Cost_DataSheet_PY2!$Q$2:$Q$71=E6), (F6="DEV")*GT_Cost_DataSheet_PY2!$T$2:$T$71)+
SUMPRODUCT(GT_Cost_DataSheet_PY2!$X$2:$X$71, --(GT_Cost_DataSheet_PY2!$Q$2:$Q$71=E6), (F6="COORD")*GT_Cost_DataSheet_PY2!$U$2:$U$71)+
SUMPRODUCT(GT_Cost_DataSheet_PY2!$X$2:$X$71, --(GT_Cost_DataSheet_PY2!$Q$2:$Q$71=E6), (F6="SUP")*GT_Cost_DataSheet_PY2!$V$2:$V$71)</f>
        <v>3.3866666666666672</v>
      </c>
      <c r="J6" s="184">
        <f>SUMPRODUCT(GT_Cost_DataSheet_PY2!$AB$2:$AB$71, --(GT_Cost_DataSheet_PY2!$Q$2:$Q$71=E6), (F6="OPS")*GT_Cost_DataSheet_PY2!$R$2:$R$71)+SUMPRODUCT(GT_Cost_DataSheet_PY2!$AB$2:$AB$71, --(GT_Cost_DataSheet_PY2!$Q$2:$Q$71=E6), (F6="MAINT")*GT_Cost_DataSheet_PY2!$S$2:$S$71)+SUMPRODUCT(GT_Cost_DataSheet_PY2!$AB$2:$AB$71, --(GT_Cost_DataSheet_PY2!$Q$2:$Q$71=E6), (F6="DEV")*GT_Cost_DataSheet_PY2!$T$2:$T$71)+SUMPRODUCT(GT_Cost_DataSheet_PY2!$AB$2:$AB$71, --(GT_Cost_DataSheet_PY2!$Q$2:$Q$71=E6), (F6="COORD")*GT_Cost_DataSheet_PY2!$U$2:$U$71)+SUMPRODUCT(GT_Cost_DataSheet_PY2!$AB$2:$AB$71, --(GT_Cost_DataSheet_PY2!$Q$2:$Q$71=E6), (F6="SUP")*GT_Cost_DataSheet_PY2!$V$2:$V$71)</f>
        <v>23681.763999999999</v>
      </c>
    </row>
    <row r="7" spans="1:10" s="111" customFormat="1">
      <c r="A7" s="174">
        <v>1.1000000000000001</v>
      </c>
      <c r="B7" s="117" t="s">
        <v>140</v>
      </c>
      <c r="C7" s="117" t="s">
        <v>307</v>
      </c>
      <c r="D7" s="111" t="s">
        <v>311</v>
      </c>
      <c r="E7" s="119" t="s">
        <v>197</v>
      </c>
      <c r="F7" s="121" t="s">
        <v>449</v>
      </c>
      <c r="G7" s="121" t="s">
        <v>496</v>
      </c>
      <c r="H7" s="121"/>
      <c r="I7" s="123">
        <f>SUMPRODUCT(GT_Cost_DataSheet_PY2!$X$2:$X$71, --(GT_Cost_DataSheet_PY2!$Q$2:$Q$71=E7), (F7="OPS")*GT_Cost_DataSheet_PY2!$R$2:$R$71)+
SUMPRODUCT(GT_Cost_DataSheet_PY2!$X$2:$X$71, --(GT_Cost_DataSheet_PY2!$Q$2:$Q$71=E7), (F7="MAINT")*GT_Cost_DataSheet_PY2!$S$2:$S$71)+
SUMPRODUCT(GT_Cost_DataSheet_PY2!$X$2:$X$71, --(GT_Cost_DataSheet_PY2!$Q$2:$Q$71=E7), (F7="DEV")*GT_Cost_DataSheet_PY2!$T$2:$T$71)+
SUMPRODUCT(GT_Cost_DataSheet_PY2!$X$2:$X$71, --(GT_Cost_DataSheet_PY2!$Q$2:$Q$71=E7), (F7="COORD")*GT_Cost_DataSheet_PY2!$U$2:$U$71)+
SUMPRODUCT(GT_Cost_DataSheet_PY2!$X$2:$X$71, --(GT_Cost_DataSheet_PY2!$Q$2:$Q$71=E7), (F7="SUP")*GT_Cost_DataSheet_PY2!$V$2:$V$71)</f>
        <v>3.8924999999999996</v>
      </c>
      <c r="J7" s="184">
        <f>SUMPRODUCT(GT_Cost_DataSheet_PY2!$AB$2:$AB$71, --(GT_Cost_DataSheet_PY2!$Q$2:$Q$71=E7), (F7="OPS")*GT_Cost_DataSheet_PY2!$R$2:$R$71)+SUMPRODUCT(GT_Cost_DataSheet_PY2!$AB$2:$AB$71, --(GT_Cost_DataSheet_PY2!$Q$2:$Q$71=E7), (F7="MAINT")*GT_Cost_DataSheet_PY2!$S$2:$S$71)+SUMPRODUCT(GT_Cost_DataSheet_PY2!$AB$2:$AB$71, --(GT_Cost_DataSheet_PY2!$Q$2:$Q$71=E7), (F7="DEV")*GT_Cost_DataSheet_PY2!$T$2:$T$71)+SUMPRODUCT(GT_Cost_DataSheet_PY2!$AB$2:$AB$71, --(GT_Cost_DataSheet_PY2!$Q$2:$Q$71=E7), (F7="COORD")*GT_Cost_DataSheet_PY2!$U$2:$U$71)+SUMPRODUCT(GT_Cost_DataSheet_PY2!$AB$2:$AB$71, --(GT_Cost_DataSheet_PY2!$Q$2:$Q$71=E7), (F7="SUP")*GT_Cost_DataSheet_PY2!$V$2:$V$71)</f>
        <v>48812.138811100747</v>
      </c>
    </row>
    <row r="8" spans="1:10" s="111" customFormat="1">
      <c r="A8" s="174">
        <v>1.1000000000000001</v>
      </c>
      <c r="B8" s="117" t="s">
        <v>140</v>
      </c>
      <c r="C8" s="117" t="s">
        <v>307</v>
      </c>
      <c r="D8" s="111" t="s">
        <v>400</v>
      </c>
      <c r="E8" s="119" t="s">
        <v>368</v>
      </c>
      <c r="F8" s="121" t="s">
        <v>449</v>
      </c>
      <c r="G8" s="121" t="s">
        <v>493</v>
      </c>
      <c r="H8" s="121"/>
      <c r="I8" s="123">
        <f>SUMPRODUCT(GT_Cost_DataSheet_PY2!$X$2:$X$71, --(GT_Cost_DataSheet_PY2!$Q$2:$Q$71=E8), (F8="OPS")*GT_Cost_DataSheet_PY2!$R$2:$R$71)+
SUMPRODUCT(GT_Cost_DataSheet_PY2!$X$2:$X$71, --(GT_Cost_DataSheet_PY2!$Q$2:$Q$71=E8), (F8="MAINT")*GT_Cost_DataSheet_PY2!$S$2:$S$71)+
SUMPRODUCT(GT_Cost_DataSheet_PY2!$X$2:$X$71, --(GT_Cost_DataSheet_PY2!$Q$2:$Q$71=E8), (F8="DEV")*GT_Cost_DataSheet_PY2!$T$2:$T$71)+
SUMPRODUCT(GT_Cost_DataSheet_PY2!$X$2:$X$71, --(GT_Cost_DataSheet_PY2!$Q$2:$Q$71=E8), (F8="COORD")*GT_Cost_DataSheet_PY2!$U$2:$U$71)+
SUMPRODUCT(GT_Cost_DataSheet_PY2!$X$2:$X$71, --(GT_Cost_DataSheet_PY2!$Q$2:$Q$71=E8), (F8="SUP")*GT_Cost_DataSheet_PY2!$V$2:$V$71)</f>
        <v>5.8349999999999991</v>
      </c>
      <c r="J8" s="184">
        <f>SUMPRODUCT(GT_Cost_DataSheet_PY2!$AB$2:$AB$71, --(GT_Cost_DataSheet_PY2!$Q$2:$Q$71=E8), (F8="OPS")*GT_Cost_DataSheet_PY2!$R$2:$R$71)+SUMPRODUCT(GT_Cost_DataSheet_PY2!$AB$2:$AB$71, --(GT_Cost_DataSheet_PY2!$Q$2:$Q$71=E8), (F8="MAINT")*GT_Cost_DataSheet_PY2!$S$2:$S$71)+SUMPRODUCT(GT_Cost_DataSheet_PY2!$AB$2:$AB$71, --(GT_Cost_DataSheet_PY2!$Q$2:$Q$71=E8), (F8="DEV")*GT_Cost_DataSheet_PY2!$T$2:$T$71)+SUMPRODUCT(GT_Cost_DataSheet_PY2!$AB$2:$AB$71, --(GT_Cost_DataSheet_PY2!$Q$2:$Q$71=E8), (F8="COORD")*GT_Cost_DataSheet_PY2!$U$2:$U$71)+SUMPRODUCT(GT_Cost_DataSheet_PY2!$AB$2:$AB$71, --(GT_Cost_DataSheet_PY2!$Q$2:$Q$71=E8), (F8="SUP")*GT_Cost_DataSheet_PY2!$V$2:$V$71)</f>
        <v>64950.540791977619</v>
      </c>
    </row>
    <row r="9" spans="1:10" s="111" customFormat="1">
      <c r="A9" s="174">
        <v>1.1000000000000001</v>
      </c>
      <c r="B9" s="117" t="s">
        <v>140</v>
      </c>
      <c r="C9" s="117" t="s">
        <v>307</v>
      </c>
      <c r="D9" s="111" t="s">
        <v>309</v>
      </c>
      <c r="E9" s="119" t="s">
        <v>393</v>
      </c>
      <c r="F9" s="121" t="s">
        <v>449</v>
      </c>
      <c r="G9" s="121" t="s">
        <v>493</v>
      </c>
      <c r="H9" s="121"/>
      <c r="I9" s="123">
        <f>SUMPRODUCT(GT_Cost_DataSheet_PY2!$X$2:$X$71, --(GT_Cost_DataSheet_PY2!$Q$2:$Q$71=E9), (F9="OPS")*GT_Cost_DataSheet_PY2!$R$2:$R$71)+
SUMPRODUCT(GT_Cost_DataSheet_PY2!$X$2:$X$71, --(GT_Cost_DataSheet_PY2!$Q$2:$Q$71=E9), (F9="MAINT")*GT_Cost_DataSheet_PY2!$S$2:$S$71)+
SUMPRODUCT(GT_Cost_DataSheet_PY2!$X$2:$X$71, --(GT_Cost_DataSheet_PY2!$Q$2:$Q$71=E9), (F9="DEV")*GT_Cost_DataSheet_PY2!$T$2:$T$71)+
SUMPRODUCT(GT_Cost_DataSheet_PY2!$X$2:$X$71, --(GT_Cost_DataSheet_PY2!$Q$2:$Q$71=E9), (F9="COORD")*GT_Cost_DataSheet_PY2!$U$2:$U$71)+
SUMPRODUCT(GT_Cost_DataSheet_PY2!$X$2:$X$71, --(GT_Cost_DataSheet_PY2!$Q$2:$Q$71=E9), (F9="SUP")*GT_Cost_DataSheet_PY2!$V$2:$V$71)</f>
        <v>10.160000000000002</v>
      </c>
      <c r="J9" s="184">
        <f>SUMPRODUCT(GT_Cost_DataSheet_PY2!$AB$2:$AB$71, --(GT_Cost_DataSheet_PY2!$Q$2:$Q$71=E9), (F9="OPS")*GT_Cost_DataSheet_PY2!$R$2:$R$71)+SUMPRODUCT(GT_Cost_DataSheet_PY2!$AB$2:$AB$71, --(GT_Cost_DataSheet_PY2!$Q$2:$Q$71=E9), (F9="MAINT")*GT_Cost_DataSheet_PY2!$S$2:$S$71)+SUMPRODUCT(GT_Cost_DataSheet_PY2!$AB$2:$AB$71, --(GT_Cost_DataSheet_PY2!$Q$2:$Q$71=E9), (F9="DEV")*GT_Cost_DataSheet_PY2!$T$2:$T$71)+SUMPRODUCT(GT_Cost_DataSheet_PY2!$AB$2:$AB$71, --(GT_Cost_DataSheet_PY2!$Q$2:$Q$71=E9), (F9="COORD")*GT_Cost_DataSheet_PY2!$U$2:$U$71)+SUMPRODUCT(GT_Cost_DataSheet_PY2!$AB$2:$AB$71, --(GT_Cost_DataSheet_PY2!$Q$2:$Q$71=E9), (F9="SUP")*GT_Cost_DataSheet_PY2!$V$2:$V$71)</f>
        <v>71045.292000000001</v>
      </c>
    </row>
    <row r="10" spans="1:10" s="111" customFormat="1">
      <c r="A10" s="174">
        <v>1.1000000000000001</v>
      </c>
      <c r="B10" s="117" t="s">
        <v>140</v>
      </c>
      <c r="C10" s="117" t="s">
        <v>307</v>
      </c>
      <c r="D10" s="111" t="s">
        <v>308</v>
      </c>
      <c r="E10" s="119" t="s">
        <v>187</v>
      </c>
      <c r="F10" s="121" t="s">
        <v>302</v>
      </c>
      <c r="G10" s="121" t="s">
        <v>493</v>
      </c>
      <c r="H10" s="121"/>
      <c r="I10" s="123">
        <f>SUMPRODUCT(GT_Cost_DataSheet_PY2!$X$2:$X$71, --(GT_Cost_DataSheet_PY2!$Q$2:$Q$71=E10), (F10="OPS")*GT_Cost_DataSheet_PY2!$R$2:$R$71)+
SUMPRODUCT(GT_Cost_DataSheet_PY2!$X$2:$X$71, --(GT_Cost_DataSheet_PY2!$Q$2:$Q$71=E10), (F10="MAINT")*GT_Cost_DataSheet_PY2!$S$2:$S$71)+
SUMPRODUCT(GT_Cost_DataSheet_PY2!$X$2:$X$71, --(GT_Cost_DataSheet_PY2!$Q$2:$Q$71=E10), (F10="DEV")*GT_Cost_DataSheet_PY2!$T$2:$T$71)+
SUMPRODUCT(GT_Cost_DataSheet_PY2!$X$2:$X$71, --(GT_Cost_DataSheet_PY2!$Q$2:$Q$71=E10), (F10="COORD")*GT_Cost_DataSheet_PY2!$U$2:$U$71)+
SUMPRODUCT(GT_Cost_DataSheet_PY2!$X$2:$X$71, --(GT_Cost_DataSheet_PY2!$Q$2:$Q$71=E10), (F10="SUP")*GT_Cost_DataSheet_PY2!$V$2:$V$71)</f>
        <v>17</v>
      </c>
      <c r="J10" s="184">
        <f>SUMPRODUCT(GT_Cost_DataSheet_PY2!$AB$2:$AB$71, --(GT_Cost_DataSheet_PY2!$Q$2:$Q$71=E10), (F10="OPS")*GT_Cost_DataSheet_PY2!$R$2:$R$71)+SUMPRODUCT(GT_Cost_DataSheet_PY2!$AB$2:$AB$71, --(GT_Cost_DataSheet_PY2!$Q$2:$Q$71=E10), (F10="MAINT")*GT_Cost_DataSheet_PY2!$S$2:$S$71)+SUMPRODUCT(GT_Cost_DataSheet_PY2!$AB$2:$AB$71, --(GT_Cost_DataSheet_PY2!$Q$2:$Q$71=E10), (F10="DEV")*GT_Cost_DataSheet_PY2!$T$2:$T$71)+SUMPRODUCT(GT_Cost_DataSheet_PY2!$AB$2:$AB$71, --(GT_Cost_DataSheet_PY2!$Q$2:$Q$71=E10), (F10="COORD")*GT_Cost_DataSheet_PY2!$U$2:$U$71)+SUMPRODUCT(GT_Cost_DataSheet_PY2!$AB$2:$AB$71, --(GT_Cost_DataSheet_PY2!$Q$2:$Q$71=E10), (F10="SUP")*GT_Cost_DataSheet_PY2!$V$2:$V$71)</f>
        <v>129316.64779897389</v>
      </c>
    </row>
    <row r="11" spans="1:10" s="111" customFormat="1">
      <c r="A11" s="174">
        <v>1.1000000000000001</v>
      </c>
      <c r="B11" s="117" t="s">
        <v>140</v>
      </c>
      <c r="C11" s="117" t="s">
        <v>307</v>
      </c>
      <c r="D11" s="111" t="s">
        <v>308</v>
      </c>
      <c r="E11" s="119" t="s">
        <v>187</v>
      </c>
      <c r="F11" s="121" t="s">
        <v>449</v>
      </c>
      <c r="G11" s="121" t="s">
        <v>496</v>
      </c>
      <c r="H11" s="121"/>
      <c r="I11" s="123">
        <f>SUMPRODUCT(GT_Cost_DataSheet_PY2!$X$2:$X$71, --(GT_Cost_DataSheet_PY2!$Q$2:$Q$71=E11), (F11="OPS")*GT_Cost_DataSheet_PY2!$R$2:$R$71)+
SUMPRODUCT(GT_Cost_DataSheet_PY2!$X$2:$X$71, --(GT_Cost_DataSheet_PY2!$Q$2:$Q$71=E11), (F11="MAINT")*GT_Cost_DataSheet_PY2!$S$2:$S$71)+
SUMPRODUCT(GT_Cost_DataSheet_PY2!$X$2:$X$71, --(GT_Cost_DataSheet_PY2!$Q$2:$Q$71=E11), (F11="DEV")*GT_Cost_DataSheet_PY2!$T$2:$T$71)+
SUMPRODUCT(GT_Cost_DataSheet_PY2!$X$2:$X$71, --(GT_Cost_DataSheet_PY2!$Q$2:$Q$71=E11), (F11="COORD")*GT_Cost_DataSheet_PY2!$U$2:$U$71)+
SUMPRODUCT(GT_Cost_DataSheet_PY2!$X$2:$X$71, --(GT_Cost_DataSheet_PY2!$Q$2:$Q$71=E11), (F11="SUP")*GT_Cost_DataSheet_PY2!$V$2:$V$71)</f>
        <v>51</v>
      </c>
      <c r="J11" s="184">
        <f>SUMPRODUCT(GT_Cost_DataSheet_PY2!$AB$2:$AB$71, --(GT_Cost_DataSheet_PY2!$Q$2:$Q$71=E11), (F11="OPS")*GT_Cost_DataSheet_PY2!$R$2:$R$71)+SUMPRODUCT(GT_Cost_DataSheet_PY2!$AB$2:$AB$71, --(GT_Cost_DataSheet_PY2!$Q$2:$Q$71=E11), (F11="MAINT")*GT_Cost_DataSheet_PY2!$S$2:$S$71)+SUMPRODUCT(GT_Cost_DataSheet_PY2!$AB$2:$AB$71, --(GT_Cost_DataSheet_PY2!$Q$2:$Q$71=E11), (F11="DEV")*GT_Cost_DataSheet_PY2!$T$2:$T$71)+SUMPRODUCT(GT_Cost_DataSheet_PY2!$AB$2:$AB$71, --(GT_Cost_DataSheet_PY2!$Q$2:$Q$71=E11), (F11="COORD")*GT_Cost_DataSheet_PY2!$U$2:$U$71)+SUMPRODUCT(GT_Cost_DataSheet_PY2!$AB$2:$AB$71, --(GT_Cost_DataSheet_PY2!$Q$2:$Q$71=E11), (F11="SUP")*GT_Cost_DataSheet_PY2!$V$2:$V$71)</f>
        <v>387949.94339692162</v>
      </c>
    </row>
    <row r="12" spans="1:10" s="111" customFormat="1">
      <c r="A12" s="174">
        <v>1.2</v>
      </c>
      <c r="B12" s="158" t="s">
        <v>140</v>
      </c>
      <c r="C12" s="158" t="s">
        <v>45</v>
      </c>
      <c r="D12" s="22" t="s">
        <v>150</v>
      </c>
      <c r="E12" s="159" t="s">
        <v>208</v>
      </c>
      <c r="F12" s="160" t="s">
        <v>302</v>
      </c>
      <c r="G12" s="160" t="s">
        <v>412</v>
      </c>
      <c r="H12" s="160"/>
      <c r="I12" s="161">
        <f>SUMPRODUCT(GT_Cost_DataSheet_PY2!$X$2:$X$71, --(GT_Cost_DataSheet_PY2!$Q$2:$Q$71=E12), (F12="OPS")*GT_Cost_DataSheet_PY2!$R$2:$R$71)+
SUMPRODUCT(GT_Cost_DataSheet_PY2!$X$2:$X$71, --(GT_Cost_DataSheet_PY2!$Q$2:$Q$71=E12), (F12="MAINT")*GT_Cost_DataSheet_PY2!$S$2:$S$71)+
SUMPRODUCT(GT_Cost_DataSheet_PY2!$X$2:$X$71, --(GT_Cost_DataSheet_PY2!$Q$2:$Q$71=E12), (F12="DEV")*GT_Cost_DataSheet_PY2!$T$2:$T$71)+
SUMPRODUCT(GT_Cost_DataSheet_PY2!$X$2:$X$71, --(GT_Cost_DataSheet_PY2!$Q$2:$Q$71=E12), (F12="COORD")*GT_Cost_DataSheet_PY2!$U$2:$U$71)+
SUMPRODUCT(GT_Cost_DataSheet_PY2!$X$2:$X$71, --(GT_Cost_DataSheet_PY2!$Q$2:$Q$71=E12), (F12="SUP")*GT_Cost_DataSheet_PY2!$V$2:$V$71)</f>
        <v>0</v>
      </c>
      <c r="J12" s="185">
        <f>SUMPRODUCT(GT_Cost_DataSheet_PY2!$AB$2:$AB$71, --(GT_Cost_DataSheet_PY2!$Q$2:$Q$71=E12), (F12="OPS")*GT_Cost_DataSheet_PY2!$R$2:$R$71)+SUMPRODUCT(GT_Cost_DataSheet_PY2!$AB$2:$AB$71, --(GT_Cost_DataSheet_PY2!$Q$2:$Q$71=E12), (F12="MAINT")*GT_Cost_DataSheet_PY2!$S$2:$S$71)+SUMPRODUCT(GT_Cost_DataSheet_PY2!$AB$2:$AB$71, --(GT_Cost_DataSheet_PY2!$Q$2:$Q$71=E12), (F12="DEV")*GT_Cost_DataSheet_PY2!$T$2:$T$71)+SUMPRODUCT(GT_Cost_DataSheet_PY2!$AB$2:$AB$71, --(GT_Cost_DataSheet_PY2!$Q$2:$Q$71=E12), (F12="COORD")*GT_Cost_DataSheet_PY2!$U$2:$U$71)+SUMPRODUCT(GT_Cost_DataSheet_PY2!$AB$2:$AB$71, --(GT_Cost_DataSheet_PY2!$Q$2:$Q$71=E12), (F12="SUP")*GT_Cost_DataSheet_PY2!$V$2:$V$71)</f>
        <v>0</v>
      </c>
    </row>
    <row r="13" spans="1:10" s="111" customFormat="1">
      <c r="A13" s="174">
        <v>1.2</v>
      </c>
      <c r="B13" s="158" t="s">
        <v>140</v>
      </c>
      <c r="C13" s="158" t="s">
        <v>45</v>
      </c>
      <c r="D13" s="22" t="s">
        <v>150</v>
      </c>
      <c r="E13" s="159" t="s">
        <v>208</v>
      </c>
      <c r="F13" s="160" t="s">
        <v>449</v>
      </c>
      <c r="G13" s="160" t="s">
        <v>412</v>
      </c>
      <c r="H13" s="160"/>
      <c r="I13" s="161">
        <f>SUMPRODUCT(GT_Cost_DataSheet_PY2!$X$2:$X$71, --(GT_Cost_DataSheet_PY2!$Q$2:$Q$71=E13), (F13="OPS")*GT_Cost_DataSheet_PY2!$R$2:$R$71)+
SUMPRODUCT(GT_Cost_DataSheet_PY2!$X$2:$X$71, --(GT_Cost_DataSheet_PY2!$Q$2:$Q$71=E13), (F13="MAINT")*GT_Cost_DataSheet_PY2!$S$2:$S$71)+
SUMPRODUCT(GT_Cost_DataSheet_PY2!$X$2:$X$71, --(GT_Cost_DataSheet_PY2!$Q$2:$Q$71=E13), (F13="DEV")*GT_Cost_DataSheet_PY2!$T$2:$T$71)+
SUMPRODUCT(GT_Cost_DataSheet_PY2!$X$2:$X$71, --(GT_Cost_DataSheet_PY2!$Q$2:$Q$71=E13), (F13="COORD")*GT_Cost_DataSheet_PY2!$U$2:$U$71)+
SUMPRODUCT(GT_Cost_DataSheet_PY2!$X$2:$X$71, --(GT_Cost_DataSheet_PY2!$Q$2:$Q$71=E13), (F13="SUP")*GT_Cost_DataSheet_PY2!$V$2:$V$71)</f>
        <v>0</v>
      </c>
      <c r="J13" s="185">
        <f>SUMPRODUCT(GT_Cost_DataSheet_PY2!$AB$2:$AB$71, --(GT_Cost_DataSheet_PY2!$Q$2:$Q$71=E13), (F13="OPS")*GT_Cost_DataSheet_PY2!$R$2:$R$71)+SUMPRODUCT(GT_Cost_DataSheet_PY2!$AB$2:$AB$71, --(GT_Cost_DataSheet_PY2!$Q$2:$Q$71=E13), (F13="MAINT")*GT_Cost_DataSheet_PY2!$S$2:$S$71)+SUMPRODUCT(GT_Cost_DataSheet_PY2!$AB$2:$AB$71, --(GT_Cost_DataSheet_PY2!$Q$2:$Q$71=E13), (F13="DEV")*GT_Cost_DataSheet_PY2!$T$2:$T$71)+SUMPRODUCT(GT_Cost_DataSheet_PY2!$AB$2:$AB$71, --(GT_Cost_DataSheet_PY2!$Q$2:$Q$71=E13), (F13="COORD")*GT_Cost_DataSheet_PY2!$U$2:$U$71)+SUMPRODUCT(GT_Cost_DataSheet_PY2!$AB$2:$AB$71, --(GT_Cost_DataSheet_PY2!$Q$2:$Q$71=E13), (F13="SUP")*GT_Cost_DataSheet_PY2!$V$2:$V$71)</f>
        <v>0</v>
      </c>
    </row>
    <row r="14" spans="1:10" s="111" customFormat="1">
      <c r="A14" s="174">
        <v>1.2</v>
      </c>
      <c r="B14" s="158" t="s">
        <v>140</v>
      </c>
      <c r="C14" s="158" t="s">
        <v>45</v>
      </c>
      <c r="D14" s="22" t="s">
        <v>315</v>
      </c>
      <c r="E14" s="159" t="s">
        <v>390</v>
      </c>
      <c r="F14" s="160" t="s">
        <v>302</v>
      </c>
      <c r="G14" s="160" t="s">
        <v>496</v>
      </c>
      <c r="H14" s="160"/>
      <c r="I14" s="161">
        <f>SUMPRODUCT(GT_Cost_DataSheet_PY2!$X$2:$X$71, --(GT_Cost_DataSheet_PY2!$Q$2:$Q$71=E14), (F14="OPS")*GT_Cost_DataSheet_PY2!$R$2:$R$71)+
SUMPRODUCT(GT_Cost_DataSheet_PY2!$X$2:$X$71, --(GT_Cost_DataSheet_PY2!$Q$2:$Q$71=E14), (F14="MAINT")*GT_Cost_DataSheet_PY2!$S$2:$S$71)+
SUMPRODUCT(GT_Cost_DataSheet_PY2!$X$2:$X$71, --(GT_Cost_DataSheet_PY2!$Q$2:$Q$71=E14), (F14="DEV")*GT_Cost_DataSheet_PY2!$T$2:$T$71)+
SUMPRODUCT(GT_Cost_DataSheet_PY2!$X$2:$X$71, --(GT_Cost_DataSheet_PY2!$Q$2:$Q$71=E14), (F14="COORD")*GT_Cost_DataSheet_PY2!$U$2:$U$71)+
SUMPRODUCT(GT_Cost_DataSheet_PY2!$X$2:$X$71, --(GT_Cost_DataSheet_PY2!$Q$2:$Q$71=E14), (F14="SUP")*GT_Cost_DataSheet_PY2!$V$2:$V$71)</f>
        <v>0</v>
      </c>
      <c r="J14" s="185">
        <f>SUMPRODUCT(GT_Cost_DataSheet_PY2!$AB$2:$AB$71, --(GT_Cost_DataSheet_PY2!$Q$2:$Q$71=E14), (F14="OPS")*GT_Cost_DataSheet_PY2!$R$2:$R$71)+SUMPRODUCT(GT_Cost_DataSheet_PY2!$AB$2:$AB$71, --(GT_Cost_DataSheet_PY2!$Q$2:$Q$71=E14), (F14="MAINT")*GT_Cost_DataSheet_PY2!$S$2:$S$71)+SUMPRODUCT(GT_Cost_DataSheet_PY2!$AB$2:$AB$71, --(GT_Cost_DataSheet_PY2!$Q$2:$Q$71=E14), (F14="DEV")*GT_Cost_DataSheet_PY2!$T$2:$T$71)+SUMPRODUCT(GT_Cost_DataSheet_PY2!$AB$2:$AB$71, --(GT_Cost_DataSheet_PY2!$Q$2:$Q$71=E14), (F14="COORD")*GT_Cost_DataSheet_PY2!$U$2:$U$71)+SUMPRODUCT(GT_Cost_DataSheet_PY2!$AB$2:$AB$71, --(GT_Cost_DataSheet_PY2!$Q$2:$Q$71=E14), (F14="SUP")*GT_Cost_DataSheet_PY2!$V$2:$V$71)</f>
        <v>0</v>
      </c>
    </row>
    <row r="15" spans="1:10" s="111" customFormat="1">
      <c r="A15" s="174">
        <v>1.2</v>
      </c>
      <c r="B15" s="158" t="s">
        <v>140</v>
      </c>
      <c r="C15" s="158" t="s">
        <v>45</v>
      </c>
      <c r="D15" s="22" t="s">
        <v>315</v>
      </c>
      <c r="E15" s="159" t="s">
        <v>390</v>
      </c>
      <c r="F15" s="160" t="s">
        <v>449</v>
      </c>
      <c r="G15" s="160" t="s">
        <v>496</v>
      </c>
      <c r="H15" s="160"/>
      <c r="I15" s="161">
        <f>SUMPRODUCT(GT_Cost_DataSheet_PY2!$X$2:$X$71, --(GT_Cost_DataSheet_PY2!$Q$2:$Q$71=E15), (F15="OPS")*GT_Cost_DataSheet_PY2!$R$2:$R$71)+
SUMPRODUCT(GT_Cost_DataSheet_PY2!$X$2:$X$71, --(GT_Cost_DataSheet_PY2!$Q$2:$Q$71=E15), (F15="MAINT")*GT_Cost_DataSheet_PY2!$S$2:$S$71)+
SUMPRODUCT(GT_Cost_DataSheet_PY2!$X$2:$X$71, --(GT_Cost_DataSheet_PY2!$Q$2:$Q$71=E15), (F15="DEV")*GT_Cost_DataSheet_PY2!$T$2:$T$71)+
SUMPRODUCT(GT_Cost_DataSheet_PY2!$X$2:$X$71, --(GT_Cost_DataSheet_PY2!$Q$2:$Q$71=E15), (F15="COORD")*GT_Cost_DataSheet_PY2!$U$2:$U$71)+
SUMPRODUCT(GT_Cost_DataSheet_PY2!$X$2:$X$71, --(GT_Cost_DataSheet_PY2!$Q$2:$Q$71=E15), (F15="SUP")*GT_Cost_DataSheet_PY2!$V$2:$V$71)</f>
        <v>0</v>
      </c>
      <c r="J15" s="185">
        <f>SUMPRODUCT(GT_Cost_DataSheet_PY2!$AB$2:$AB$71, --(GT_Cost_DataSheet_PY2!$Q$2:$Q$71=E15), (F15="OPS")*GT_Cost_DataSheet_PY2!$R$2:$R$71)+SUMPRODUCT(GT_Cost_DataSheet_PY2!$AB$2:$AB$71, --(GT_Cost_DataSheet_PY2!$Q$2:$Q$71=E15), (F15="MAINT")*GT_Cost_DataSheet_PY2!$S$2:$S$71)+SUMPRODUCT(GT_Cost_DataSheet_PY2!$AB$2:$AB$71, --(GT_Cost_DataSheet_PY2!$Q$2:$Q$71=E15), (F15="DEV")*GT_Cost_DataSheet_PY2!$T$2:$T$71)+SUMPRODUCT(GT_Cost_DataSheet_PY2!$AB$2:$AB$71, --(GT_Cost_DataSheet_PY2!$Q$2:$Q$71=E15), (F15="COORD")*GT_Cost_DataSheet_PY2!$U$2:$U$71)+SUMPRODUCT(GT_Cost_DataSheet_PY2!$AB$2:$AB$71, --(GT_Cost_DataSheet_PY2!$Q$2:$Q$71=E15), (F15="SUP")*GT_Cost_DataSheet_PY2!$V$2:$V$71)</f>
        <v>0</v>
      </c>
    </row>
    <row r="16" spans="1:10" s="111" customFormat="1">
      <c r="A16" s="174">
        <v>1.2</v>
      </c>
      <c r="B16" s="117" t="s">
        <v>140</v>
      </c>
      <c r="C16" s="117" t="s">
        <v>45</v>
      </c>
      <c r="D16" s="111" t="s">
        <v>153</v>
      </c>
      <c r="E16" s="119" t="s">
        <v>209</v>
      </c>
      <c r="F16" s="121" t="s">
        <v>302</v>
      </c>
      <c r="G16" s="121" t="s">
        <v>446</v>
      </c>
      <c r="H16" s="121"/>
      <c r="I16" s="123">
        <f>SUMPRODUCT(GT_Cost_DataSheet_PY2!$X$2:$X$71, --(GT_Cost_DataSheet_PY2!$Q$2:$Q$71=E16), (F16="OPS")*GT_Cost_DataSheet_PY2!$R$2:$R$71)+
SUMPRODUCT(GT_Cost_DataSheet_PY2!$X$2:$X$71, --(GT_Cost_DataSheet_PY2!$Q$2:$Q$71=E16), (F16="MAINT")*GT_Cost_DataSheet_PY2!$S$2:$S$71)+
SUMPRODUCT(GT_Cost_DataSheet_PY2!$X$2:$X$71, --(GT_Cost_DataSheet_PY2!$Q$2:$Q$71=E16), (F16="DEV")*GT_Cost_DataSheet_PY2!$T$2:$T$71)+
SUMPRODUCT(GT_Cost_DataSheet_PY2!$X$2:$X$71, --(GT_Cost_DataSheet_PY2!$Q$2:$Q$71=E16), (F16="COORD")*GT_Cost_DataSheet_PY2!$U$2:$U$71)+
SUMPRODUCT(GT_Cost_DataSheet_PY2!$X$2:$X$71, --(GT_Cost_DataSheet_PY2!$Q$2:$Q$71=E16), (F16="SUP")*GT_Cost_DataSheet_PY2!$V$2:$V$71)</f>
        <v>0.21626984126984136</v>
      </c>
      <c r="J16" s="184">
        <f>SUMPRODUCT(GT_Cost_DataSheet_PY2!$AB$2:$AB$71, --(GT_Cost_DataSheet_PY2!$Q$2:$Q$71=E16), (F16="OPS")*GT_Cost_DataSheet_PY2!$R$2:$R$71)+SUMPRODUCT(GT_Cost_DataSheet_PY2!$AB$2:$AB$71, --(GT_Cost_DataSheet_PY2!$Q$2:$Q$71=E16), (F16="MAINT")*GT_Cost_DataSheet_PY2!$S$2:$S$71)+SUMPRODUCT(GT_Cost_DataSheet_PY2!$AB$2:$AB$71, --(GT_Cost_DataSheet_PY2!$Q$2:$Q$71=E16), (F16="DEV")*GT_Cost_DataSheet_PY2!$T$2:$T$71)+SUMPRODUCT(GT_Cost_DataSheet_PY2!$AB$2:$AB$71, --(GT_Cost_DataSheet_PY2!$Q$2:$Q$71=E16), (F16="COORD")*GT_Cost_DataSheet_PY2!$U$2:$U$71)+SUMPRODUCT(GT_Cost_DataSheet_PY2!$AB$2:$AB$71, --(GT_Cost_DataSheet_PY2!$Q$2:$Q$71=E16), (F16="SUP")*GT_Cost_DataSheet_PY2!$V$2:$V$71)</f>
        <v>1444.5</v>
      </c>
    </row>
    <row r="17" spans="1:10" s="111" customFormat="1">
      <c r="A17" s="174">
        <v>1.2</v>
      </c>
      <c r="B17" s="117" t="s">
        <v>140</v>
      </c>
      <c r="C17" s="117" t="s">
        <v>45</v>
      </c>
      <c r="D17" s="111" t="s">
        <v>161</v>
      </c>
      <c r="E17" s="119" t="s">
        <v>181</v>
      </c>
      <c r="F17" s="121" t="s">
        <v>302</v>
      </c>
      <c r="G17" s="121" t="s">
        <v>493</v>
      </c>
      <c r="H17" s="121"/>
      <c r="I17" s="123">
        <f>SUMPRODUCT(GT_Cost_DataSheet_PY2!$X$2:$X$71, --(GT_Cost_DataSheet_PY2!$Q$2:$Q$71=E17), (F17="OPS")*GT_Cost_DataSheet_PY2!$R$2:$R$71)+
SUMPRODUCT(GT_Cost_DataSheet_PY2!$X$2:$X$71, --(GT_Cost_DataSheet_PY2!$Q$2:$Q$71=E17), (F17="MAINT")*GT_Cost_DataSheet_PY2!$S$2:$S$71)+
SUMPRODUCT(GT_Cost_DataSheet_PY2!$X$2:$X$71, --(GT_Cost_DataSheet_PY2!$Q$2:$Q$71=E17), (F17="DEV")*GT_Cost_DataSheet_PY2!$T$2:$T$71)+
SUMPRODUCT(GT_Cost_DataSheet_PY2!$X$2:$X$71, --(GT_Cost_DataSheet_PY2!$Q$2:$Q$71=E17), (F17="COORD")*GT_Cost_DataSheet_PY2!$U$2:$U$71)+
SUMPRODUCT(GT_Cost_DataSheet_PY2!$X$2:$X$71, --(GT_Cost_DataSheet_PY2!$Q$2:$Q$71=E17), (F17="SUP")*GT_Cost_DataSheet_PY2!$V$2:$V$71)</f>
        <v>0.37394285714285697</v>
      </c>
      <c r="J17" s="184">
        <f>SUMPRODUCT(GT_Cost_DataSheet_PY2!$AB$2:$AB$71, --(GT_Cost_DataSheet_PY2!$Q$2:$Q$71=E17), (F17="OPS")*GT_Cost_DataSheet_PY2!$R$2:$R$71)+SUMPRODUCT(GT_Cost_DataSheet_PY2!$AB$2:$AB$71, --(GT_Cost_DataSheet_PY2!$Q$2:$Q$71=E17), (F17="MAINT")*GT_Cost_DataSheet_PY2!$S$2:$S$71)+SUMPRODUCT(GT_Cost_DataSheet_PY2!$AB$2:$AB$71, --(GT_Cost_DataSheet_PY2!$Q$2:$Q$71=E17), (F17="DEV")*GT_Cost_DataSheet_PY2!$T$2:$T$71)+SUMPRODUCT(GT_Cost_DataSheet_PY2!$AB$2:$AB$71, --(GT_Cost_DataSheet_PY2!$Q$2:$Q$71=E17), (F17="COORD")*GT_Cost_DataSheet_PY2!$U$2:$U$71)+SUMPRODUCT(GT_Cost_DataSheet_PY2!$AB$2:$AB$71, --(GT_Cost_DataSheet_PY2!$Q$2:$Q$71=E17), (F17="SUP")*GT_Cost_DataSheet_PY2!$V$2:$V$71)</f>
        <v>3703.1750000000002</v>
      </c>
    </row>
    <row r="18" spans="1:10" s="111" customFormat="1">
      <c r="A18" s="174">
        <v>1.2</v>
      </c>
      <c r="B18" s="117" t="s">
        <v>140</v>
      </c>
      <c r="C18" s="117" t="s">
        <v>45</v>
      </c>
      <c r="D18" s="111" t="s">
        <v>153</v>
      </c>
      <c r="E18" s="119" t="s">
        <v>209</v>
      </c>
      <c r="F18" s="121" t="s">
        <v>449</v>
      </c>
      <c r="G18" s="121" t="s">
        <v>446</v>
      </c>
      <c r="H18" s="121"/>
      <c r="I18" s="123">
        <f>SUMPRODUCT(GT_Cost_DataSheet_PY2!$X$2:$X$71, --(GT_Cost_DataSheet_PY2!$Q$2:$Q$71=E18), (F18="OPS")*GT_Cost_DataSheet_PY2!$R$2:$R$71)+
SUMPRODUCT(GT_Cost_DataSheet_PY2!$X$2:$X$71, --(GT_Cost_DataSheet_PY2!$Q$2:$Q$71=E18), (F18="MAINT")*GT_Cost_DataSheet_PY2!$S$2:$S$71)+
SUMPRODUCT(GT_Cost_DataSheet_PY2!$X$2:$X$71, --(GT_Cost_DataSheet_PY2!$Q$2:$Q$71=E18), (F18="DEV")*GT_Cost_DataSheet_PY2!$T$2:$T$71)+
SUMPRODUCT(GT_Cost_DataSheet_PY2!$X$2:$X$71, --(GT_Cost_DataSheet_PY2!$Q$2:$Q$71=E18), (F18="COORD")*GT_Cost_DataSheet_PY2!$U$2:$U$71)+
SUMPRODUCT(GT_Cost_DataSheet_PY2!$X$2:$X$71, --(GT_Cost_DataSheet_PY2!$Q$2:$Q$71=E18), (F18="SUP")*GT_Cost_DataSheet_PY2!$V$2:$V$71)</f>
        <v>0.64880952380952406</v>
      </c>
      <c r="J18" s="184">
        <f>SUMPRODUCT(GT_Cost_DataSheet_PY2!$AB$2:$AB$71, --(GT_Cost_DataSheet_PY2!$Q$2:$Q$71=E18), (F18="OPS")*GT_Cost_DataSheet_PY2!$R$2:$R$71)+SUMPRODUCT(GT_Cost_DataSheet_PY2!$AB$2:$AB$71, --(GT_Cost_DataSheet_PY2!$Q$2:$Q$71=E18), (F18="MAINT")*GT_Cost_DataSheet_PY2!$S$2:$S$71)+SUMPRODUCT(GT_Cost_DataSheet_PY2!$AB$2:$AB$71, --(GT_Cost_DataSheet_PY2!$Q$2:$Q$71=E18), (F18="DEV")*GT_Cost_DataSheet_PY2!$T$2:$T$71)+SUMPRODUCT(GT_Cost_DataSheet_PY2!$AB$2:$AB$71, --(GT_Cost_DataSheet_PY2!$Q$2:$Q$71=E18), (F18="COORD")*GT_Cost_DataSheet_PY2!$U$2:$U$71)+SUMPRODUCT(GT_Cost_DataSheet_PY2!$AB$2:$AB$71, --(GT_Cost_DataSheet_PY2!$Q$2:$Q$71=E18), (F18="SUP")*GT_Cost_DataSheet_PY2!$V$2:$V$71)</f>
        <v>4333.5</v>
      </c>
    </row>
    <row r="19" spans="1:10" s="111" customFormat="1">
      <c r="A19" s="174">
        <v>1.2</v>
      </c>
      <c r="B19" s="117" t="s">
        <v>140</v>
      </c>
      <c r="C19" s="117" t="s">
        <v>45</v>
      </c>
      <c r="D19" s="111" t="s">
        <v>161</v>
      </c>
      <c r="E19" s="119" t="s">
        <v>181</v>
      </c>
      <c r="F19" s="121" t="s">
        <v>449</v>
      </c>
      <c r="G19" s="121" t="s">
        <v>493</v>
      </c>
      <c r="H19" s="121"/>
      <c r="I19" s="123">
        <f>SUMPRODUCT(GT_Cost_DataSheet_PY2!$X$2:$X$71, --(GT_Cost_DataSheet_PY2!$Q$2:$Q$71=E19), (F19="OPS")*GT_Cost_DataSheet_PY2!$R$2:$R$71)+
SUMPRODUCT(GT_Cost_DataSheet_PY2!$X$2:$X$71, --(GT_Cost_DataSheet_PY2!$Q$2:$Q$71=E19), (F19="MAINT")*GT_Cost_DataSheet_PY2!$S$2:$S$71)+
SUMPRODUCT(GT_Cost_DataSheet_PY2!$X$2:$X$71, --(GT_Cost_DataSheet_PY2!$Q$2:$Q$71=E19), (F19="DEV")*GT_Cost_DataSheet_PY2!$T$2:$T$71)+
SUMPRODUCT(GT_Cost_DataSheet_PY2!$X$2:$X$71, --(GT_Cost_DataSheet_PY2!$Q$2:$Q$71=E19), (F19="COORD")*GT_Cost_DataSheet_PY2!$U$2:$U$71)+
SUMPRODUCT(GT_Cost_DataSheet_PY2!$X$2:$X$71, --(GT_Cost_DataSheet_PY2!$Q$2:$Q$71=E19), (F19="SUP")*GT_Cost_DataSheet_PY2!$V$2:$V$71)</f>
        <v>1.121828571428571</v>
      </c>
      <c r="J19" s="184">
        <f>SUMPRODUCT(GT_Cost_DataSheet_PY2!$AB$2:$AB$71, --(GT_Cost_DataSheet_PY2!$Q$2:$Q$71=E19), (F19="OPS")*GT_Cost_DataSheet_PY2!$R$2:$R$71)+SUMPRODUCT(GT_Cost_DataSheet_PY2!$AB$2:$AB$71, --(GT_Cost_DataSheet_PY2!$Q$2:$Q$71=E19), (F19="MAINT")*GT_Cost_DataSheet_PY2!$S$2:$S$71)+SUMPRODUCT(GT_Cost_DataSheet_PY2!$AB$2:$AB$71, --(GT_Cost_DataSheet_PY2!$Q$2:$Q$71=E19), (F19="DEV")*GT_Cost_DataSheet_PY2!$T$2:$T$71)+SUMPRODUCT(GT_Cost_DataSheet_PY2!$AB$2:$AB$71, --(GT_Cost_DataSheet_PY2!$Q$2:$Q$71=E19), (F19="COORD")*GT_Cost_DataSheet_PY2!$U$2:$U$71)+SUMPRODUCT(GT_Cost_DataSheet_PY2!$AB$2:$AB$71, --(GT_Cost_DataSheet_PY2!$Q$2:$Q$71=E19), (F19="SUP")*GT_Cost_DataSheet_PY2!$V$2:$V$71)</f>
        <v>11109.525000000001</v>
      </c>
    </row>
    <row r="20" spans="1:10" s="111" customFormat="1">
      <c r="A20" s="174">
        <v>1.2</v>
      </c>
      <c r="B20" s="117" t="s">
        <v>140</v>
      </c>
      <c r="C20" s="117" t="s">
        <v>45</v>
      </c>
      <c r="D20" s="111" t="s">
        <v>312</v>
      </c>
      <c r="E20" s="119" t="s">
        <v>173</v>
      </c>
      <c r="F20" s="121" t="s">
        <v>302</v>
      </c>
      <c r="G20" s="121" t="s">
        <v>412</v>
      </c>
      <c r="H20" s="121"/>
      <c r="I20" s="123">
        <f>SUMPRODUCT(GT_Cost_DataSheet_PY2!$X$2:$X$71, --(GT_Cost_DataSheet_PY2!$Q$2:$Q$71=E20), (F20="OPS")*GT_Cost_DataSheet_PY2!$R$2:$R$71)+
SUMPRODUCT(GT_Cost_DataSheet_PY2!$X$2:$X$71, --(GT_Cost_DataSheet_PY2!$Q$2:$Q$71=E20), (F20="MAINT")*GT_Cost_DataSheet_PY2!$S$2:$S$71)+
SUMPRODUCT(GT_Cost_DataSheet_PY2!$X$2:$X$71, --(GT_Cost_DataSheet_PY2!$Q$2:$Q$71=E20), (F20="DEV")*GT_Cost_DataSheet_PY2!$T$2:$T$71)+
SUMPRODUCT(GT_Cost_DataSheet_PY2!$X$2:$X$71, --(GT_Cost_DataSheet_PY2!$Q$2:$Q$71=E20), (F20="COORD")*GT_Cost_DataSheet_PY2!$U$2:$U$71)+
SUMPRODUCT(GT_Cost_DataSheet_PY2!$X$2:$X$71, --(GT_Cost_DataSheet_PY2!$Q$2:$Q$71=E20), (F20="SUP")*GT_Cost_DataSheet_PY2!$V$2:$V$71)</f>
        <v>2.5925000000000002</v>
      </c>
      <c r="J20" s="184">
        <f>SUMPRODUCT(GT_Cost_DataSheet_PY2!$AB$2:$AB$71, --(GT_Cost_DataSheet_PY2!$Q$2:$Q$71=E20), (F20="OPS")*GT_Cost_DataSheet_PY2!$R$2:$R$71)+SUMPRODUCT(GT_Cost_DataSheet_PY2!$AB$2:$AB$71, --(GT_Cost_DataSheet_PY2!$Q$2:$Q$71=E20), (F20="MAINT")*GT_Cost_DataSheet_PY2!$S$2:$S$71)+SUMPRODUCT(GT_Cost_DataSheet_PY2!$AB$2:$AB$71, --(GT_Cost_DataSheet_PY2!$Q$2:$Q$71=E20), (F20="DEV")*GT_Cost_DataSheet_PY2!$T$2:$T$71)+SUMPRODUCT(GT_Cost_DataSheet_PY2!$AB$2:$AB$71, --(GT_Cost_DataSheet_PY2!$Q$2:$Q$71=E20), (F20="COORD")*GT_Cost_DataSheet_PY2!$U$2:$U$71)+SUMPRODUCT(GT_Cost_DataSheet_PY2!$AB$2:$AB$71, --(GT_Cost_DataSheet_PY2!$Q$2:$Q$71=E20), (F20="SUP")*GT_Cost_DataSheet_PY2!$V$2:$V$71)</f>
        <v>32175.731999999996</v>
      </c>
    </row>
    <row r="21" spans="1:10" s="111" customFormat="1">
      <c r="A21" s="174">
        <v>1.2</v>
      </c>
      <c r="B21" s="117" t="s">
        <v>140</v>
      </c>
      <c r="C21" s="117" t="s">
        <v>45</v>
      </c>
      <c r="D21" s="111" t="s">
        <v>314</v>
      </c>
      <c r="E21" s="119" t="s">
        <v>387</v>
      </c>
      <c r="F21" s="121" t="s">
        <v>302</v>
      </c>
      <c r="G21" s="121" t="s">
        <v>496</v>
      </c>
      <c r="H21" s="121"/>
      <c r="I21" s="123">
        <f>SUMPRODUCT(GT_Cost_DataSheet_PY2!$X$2:$X$71, --(GT_Cost_DataSheet_PY2!$Q$2:$Q$71=E21), (F21="OPS")*GT_Cost_DataSheet_PY2!$R$2:$R$71)+
SUMPRODUCT(GT_Cost_DataSheet_PY2!$X$2:$X$71, --(GT_Cost_DataSheet_PY2!$Q$2:$Q$71=E21), (F21="MAINT")*GT_Cost_DataSheet_PY2!$S$2:$S$71)+
SUMPRODUCT(GT_Cost_DataSheet_PY2!$X$2:$X$71, --(GT_Cost_DataSheet_PY2!$Q$2:$Q$71=E21), (F21="DEV")*GT_Cost_DataSheet_PY2!$T$2:$T$71)+
SUMPRODUCT(GT_Cost_DataSheet_PY2!$X$2:$X$71, --(GT_Cost_DataSheet_PY2!$Q$2:$Q$71=E21), (F21="COORD")*GT_Cost_DataSheet_PY2!$U$2:$U$71)+
SUMPRODUCT(GT_Cost_DataSheet_PY2!$X$2:$X$71, --(GT_Cost_DataSheet_PY2!$Q$2:$Q$71=E21), (F21="SUP")*GT_Cost_DataSheet_PY2!$V$2:$V$71)</f>
        <v>3.5256385974497881</v>
      </c>
      <c r="J21" s="184">
        <f>SUMPRODUCT(GT_Cost_DataSheet_PY2!$AB$2:$AB$71, --(GT_Cost_DataSheet_PY2!$Q$2:$Q$71=E21), (F21="OPS")*GT_Cost_DataSheet_PY2!$R$2:$R$71)+SUMPRODUCT(GT_Cost_DataSheet_PY2!$AB$2:$AB$71, --(GT_Cost_DataSheet_PY2!$Q$2:$Q$71=E21), (F21="MAINT")*GT_Cost_DataSheet_PY2!$S$2:$S$71)+SUMPRODUCT(GT_Cost_DataSheet_PY2!$AB$2:$AB$71, --(GT_Cost_DataSheet_PY2!$Q$2:$Q$71=E21), (F21="DEV")*GT_Cost_DataSheet_PY2!$T$2:$T$71)+SUMPRODUCT(GT_Cost_DataSheet_PY2!$AB$2:$AB$71, --(GT_Cost_DataSheet_PY2!$Q$2:$Q$71=E21), (F21="COORD")*GT_Cost_DataSheet_PY2!$U$2:$U$71)+SUMPRODUCT(GT_Cost_DataSheet_PY2!$AB$2:$AB$71, --(GT_Cost_DataSheet_PY2!$Q$2:$Q$71=E21), (F21="SUP")*GT_Cost_DataSheet_PY2!$V$2:$V$71)</f>
        <v>35095.376202199404</v>
      </c>
    </row>
    <row r="22" spans="1:10" s="111" customFormat="1">
      <c r="A22" s="174">
        <v>1.2</v>
      </c>
      <c r="B22" s="117" t="s">
        <v>140</v>
      </c>
      <c r="C22" s="117" t="s">
        <v>45</v>
      </c>
      <c r="D22" s="111" t="s">
        <v>313</v>
      </c>
      <c r="E22" s="119" t="s">
        <v>383</v>
      </c>
      <c r="F22" s="121" t="s">
        <v>302</v>
      </c>
      <c r="G22" s="121" t="s">
        <v>496</v>
      </c>
      <c r="H22" s="121"/>
      <c r="I22" s="123">
        <f>SUMPRODUCT(GT_Cost_DataSheet_PY2!$X$2:$X$71, --(GT_Cost_DataSheet_PY2!$Q$2:$Q$71=E22), (F22="OPS")*GT_Cost_DataSheet_PY2!$R$2:$R$71)+
SUMPRODUCT(GT_Cost_DataSheet_PY2!$X$2:$X$71, --(GT_Cost_DataSheet_PY2!$Q$2:$Q$71=E22), (F22="MAINT")*GT_Cost_DataSheet_PY2!$S$2:$S$71)+
SUMPRODUCT(GT_Cost_DataSheet_PY2!$X$2:$X$71, --(GT_Cost_DataSheet_PY2!$Q$2:$Q$71=E22), (F22="DEV")*GT_Cost_DataSheet_PY2!$T$2:$T$71)+
SUMPRODUCT(GT_Cost_DataSheet_PY2!$X$2:$X$71, --(GT_Cost_DataSheet_PY2!$Q$2:$Q$71=E22), (F22="COORD")*GT_Cost_DataSheet_PY2!$U$2:$U$71)+
SUMPRODUCT(GT_Cost_DataSheet_PY2!$X$2:$X$71, --(GT_Cost_DataSheet_PY2!$Q$2:$Q$71=E22), (F22="SUP")*GT_Cost_DataSheet_PY2!$V$2:$V$71)</f>
        <v>3.7527052398020144</v>
      </c>
      <c r="J22" s="184">
        <f>SUMPRODUCT(GT_Cost_DataSheet_PY2!$AB$2:$AB$71, --(GT_Cost_DataSheet_PY2!$Q$2:$Q$71=E22), (F22="OPS")*GT_Cost_DataSheet_PY2!$R$2:$R$71)+SUMPRODUCT(GT_Cost_DataSheet_PY2!$AB$2:$AB$71, --(GT_Cost_DataSheet_PY2!$Q$2:$Q$71=E22), (F22="MAINT")*GT_Cost_DataSheet_PY2!$S$2:$S$71)+SUMPRODUCT(GT_Cost_DataSheet_PY2!$AB$2:$AB$71, --(GT_Cost_DataSheet_PY2!$Q$2:$Q$71=E22), (F22="DEV")*GT_Cost_DataSheet_PY2!$T$2:$T$71)+SUMPRODUCT(GT_Cost_DataSheet_PY2!$AB$2:$AB$71, --(GT_Cost_DataSheet_PY2!$Q$2:$Q$71=E22), (F22="COORD")*GT_Cost_DataSheet_PY2!$U$2:$U$71)+SUMPRODUCT(GT_Cost_DataSheet_PY2!$AB$2:$AB$71, --(GT_Cost_DataSheet_PY2!$Q$2:$Q$71=E22), (F22="SUP")*GT_Cost_DataSheet_PY2!$V$2:$V$71)</f>
        <v>28354.51874584323</v>
      </c>
    </row>
    <row r="23" spans="1:10" s="111" customFormat="1">
      <c r="A23" s="174">
        <v>1.2</v>
      </c>
      <c r="B23" s="117" t="s">
        <v>140</v>
      </c>
      <c r="C23" s="117" t="s">
        <v>45</v>
      </c>
      <c r="D23" s="111" t="s">
        <v>312</v>
      </c>
      <c r="E23" s="119" t="s">
        <v>173</v>
      </c>
      <c r="F23" s="121" t="s">
        <v>449</v>
      </c>
      <c r="G23" s="121" t="s">
        <v>493</v>
      </c>
      <c r="H23" s="121"/>
      <c r="I23" s="123">
        <f>SUMPRODUCT(GT_Cost_DataSheet_PY2!$X$2:$X$71, --(GT_Cost_DataSheet_PY2!$Q$2:$Q$71=E23), (F23="OPS")*GT_Cost_DataSheet_PY2!$R$2:$R$71)+
SUMPRODUCT(GT_Cost_DataSheet_PY2!$X$2:$X$71, --(GT_Cost_DataSheet_PY2!$Q$2:$Q$71=E23), (F23="MAINT")*GT_Cost_DataSheet_PY2!$S$2:$S$71)+
SUMPRODUCT(GT_Cost_DataSheet_PY2!$X$2:$X$71, --(GT_Cost_DataSheet_PY2!$Q$2:$Q$71=E23), (F23="DEV")*GT_Cost_DataSheet_PY2!$T$2:$T$71)+
SUMPRODUCT(GT_Cost_DataSheet_PY2!$X$2:$X$71, --(GT_Cost_DataSheet_PY2!$Q$2:$Q$71=E23), (F23="COORD")*GT_Cost_DataSheet_PY2!$U$2:$U$71)+
SUMPRODUCT(GT_Cost_DataSheet_PY2!$X$2:$X$71, --(GT_Cost_DataSheet_PY2!$Q$2:$Q$71=E23), (F23="SUP")*GT_Cost_DataSheet_PY2!$V$2:$V$71)</f>
        <v>7.7775000000000007</v>
      </c>
      <c r="J23" s="184">
        <f>SUMPRODUCT(GT_Cost_DataSheet_PY2!$AB$2:$AB$71, --(GT_Cost_DataSheet_PY2!$Q$2:$Q$71=E23), (F23="OPS")*GT_Cost_DataSheet_PY2!$R$2:$R$71)+SUMPRODUCT(GT_Cost_DataSheet_PY2!$AB$2:$AB$71, --(GT_Cost_DataSheet_PY2!$Q$2:$Q$71=E23), (F23="MAINT")*GT_Cost_DataSheet_PY2!$S$2:$S$71)+SUMPRODUCT(GT_Cost_DataSheet_PY2!$AB$2:$AB$71, --(GT_Cost_DataSheet_PY2!$Q$2:$Q$71=E23), (F23="DEV")*GT_Cost_DataSheet_PY2!$T$2:$T$71)+SUMPRODUCT(GT_Cost_DataSheet_PY2!$AB$2:$AB$71, --(GT_Cost_DataSheet_PY2!$Q$2:$Q$71=E23), (F23="COORD")*GT_Cost_DataSheet_PY2!$U$2:$U$71)+SUMPRODUCT(GT_Cost_DataSheet_PY2!$AB$2:$AB$71, --(GT_Cost_DataSheet_PY2!$Q$2:$Q$71=E23), (F23="SUP")*GT_Cost_DataSheet_PY2!$V$2:$V$71)</f>
        <v>96527.195999999996</v>
      </c>
    </row>
    <row r="24" spans="1:10" s="111" customFormat="1">
      <c r="A24" s="174">
        <v>1.2</v>
      </c>
      <c r="B24" s="117" t="s">
        <v>140</v>
      </c>
      <c r="C24" s="117" t="s">
        <v>45</v>
      </c>
      <c r="D24" s="111" t="s">
        <v>314</v>
      </c>
      <c r="E24" s="119" t="s">
        <v>387</v>
      </c>
      <c r="F24" s="121" t="s">
        <v>449</v>
      </c>
      <c r="G24" s="121" t="s">
        <v>496</v>
      </c>
      <c r="H24" s="121"/>
      <c r="I24" s="123">
        <f>SUMPRODUCT(GT_Cost_DataSheet_PY2!$X$2:$X$71, --(GT_Cost_DataSheet_PY2!$Q$2:$Q$71=E24), (F24="OPS")*GT_Cost_DataSheet_PY2!$R$2:$R$71)+
SUMPRODUCT(GT_Cost_DataSheet_PY2!$X$2:$X$71, --(GT_Cost_DataSheet_PY2!$Q$2:$Q$71=E24), (F24="MAINT")*GT_Cost_DataSheet_PY2!$S$2:$S$71)+
SUMPRODUCT(GT_Cost_DataSheet_PY2!$X$2:$X$71, --(GT_Cost_DataSheet_PY2!$Q$2:$Q$71=E24), (F24="DEV")*GT_Cost_DataSheet_PY2!$T$2:$T$71)+
SUMPRODUCT(GT_Cost_DataSheet_PY2!$X$2:$X$71, --(GT_Cost_DataSheet_PY2!$Q$2:$Q$71=E24), (F24="COORD")*GT_Cost_DataSheet_PY2!$U$2:$U$71)+
SUMPRODUCT(GT_Cost_DataSheet_PY2!$X$2:$X$71, --(GT_Cost_DataSheet_PY2!$Q$2:$Q$71=E24), (F24="SUP")*GT_Cost_DataSheet_PY2!$V$2:$V$71)</f>
        <v>10.576915792349364</v>
      </c>
      <c r="J24" s="184">
        <f>SUMPRODUCT(GT_Cost_DataSheet_PY2!$AB$2:$AB$71, --(GT_Cost_DataSheet_PY2!$Q$2:$Q$71=E24), (F24="OPS")*GT_Cost_DataSheet_PY2!$R$2:$R$71)+SUMPRODUCT(GT_Cost_DataSheet_PY2!$AB$2:$AB$71, --(GT_Cost_DataSheet_PY2!$Q$2:$Q$71=E24), (F24="MAINT")*GT_Cost_DataSheet_PY2!$S$2:$S$71)+SUMPRODUCT(GT_Cost_DataSheet_PY2!$AB$2:$AB$71, --(GT_Cost_DataSheet_PY2!$Q$2:$Q$71=E24), (F24="DEV")*GT_Cost_DataSheet_PY2!$T$2:$T$71)+SUMPRODUCT(GT_Cost_DataSheet_PY2!$AB$2:$AB$71, --(GT_Cost_DataSheet_PY2!$Q$2:$Q$71=E24), (F24="COORD")*GT_Cost_DataSheet_PY2!$U$2:$U$71)+SUMPRODUCT(GT_Cost_DataSheet_PY2!$AB$2:$AB$71, --(GT_Cost_DataSheet_PY2!$Q$2:$Q$71=E24), (F24="SUP")*GT_Cost_DataSheet_PY2!$V$2:$V$71)</f>
        <v>105286.12860659821</v>
      </c>
    </row>
    <row r="25" spans="1:10" s="111" customFormat="1">
      <c r="A25" s="174">
        <v>1.2</v>
      </c>
      <c r="B25" s="117" t="s">
        <v>140</v>
      </c>
      <c r="C25" s="117" t="s">
        <v>45</v>
      </c>
      <c r="D25" s="111" t="s">
        <v>313</v>
      </c>
      <c r="E25" s="119" t="s">
        <v>383</v>
      </c>
      <c r="F25" s="121" t="s">
        <v>449</v>
      </c>
      <c r="G25" s="121" t="s">
        <v>496</v>
      </c>
      <c r="H25" s="121"/>
      <c r="I25" s="123">
        <f>SUMPRODUCT(GT_Cost_DataSheet_PY2!$X$2:$X$71, --(GT_Cost_DataSheet_PY2!$Q$2:$Q$71=E25), (F25="OPS")*GT_Cost_DataSheet_PY2!$R$2:$R$71)+
SUMPRODUCT(GT_Cost_DataSheet_PY2!$X$2:$X$71, --(GT_Cost_DataSheet_PY2!$Q$2:$Q$71=E25), (F25="MAINT")*GT_Cost_DataSheet_PY2!$S$2:$S$71)+
SUMPRODUCT(GT_Cost_DataSheet_PY2!$X$2:$X$71, --(GT_Cost_DataSheet_PY2!$Q$2:$Q$71=E25), (F25="DEV")*GT_Cost_DataSheet_PY2!$T$2:$T$71)+
SUMPRODUCT(GT_Cost_DataSheet_PY2!$X$2:$X$71, --(GT_Cost_DataSheet_PY2!$Q$2:$Q$71=E25), (F25="COORD")*GT_Cost_DataSheet_PY2!$U$2:$U$71)+
SUMPRODUCT(GT_Cost_DataSheet_PY2!$X$2:$X$71, --(GT_Cost_DataSheet_PY2!$Q$2:$Q$71=E25), (F25="SUP")*GT_Cost_DataSheet_PY2!$V$2:$V$71)</f>
        <v>11.258115719406042</v>
      </c>
      <c r="J25" s="184">
        <f>SUMPRODUCT(GT_Cost_DataSheet_PY2!$AB$2:$AB$71, --(GT_Cost_DataSheet_PY2!$Q$2:$Q$71=E25), (F25="OPS")*GT_Cost_DataSheet_PY2!$R$2:$R$71)+SUMPRODUCT(GT_Cost_DataSheet_PY2!$AB$2:$AB$71, --(GT_Cost_DataSheet_PY2!$Q$2:$Q$71=E25), (F25="MAINT")*GT_Cost_DataSheet_PY2!$S$2:$S$71)+SUMPRODUCT(GT_Cost_DataSheet_PY2!$AB$2:$AB$71, --(GT_Cost_DataSheet_PY2!$Q$2:$Q$71=E25), (F25="DEV")*GT_Cost_DataSheet_PY2!$T$2:$T$71)+SUMPRODUCT(GT_Cost_DataSheet_PY2!$AB$2:$AB$71, --(GT_Cost_DataSheet_PY2!$Q$2:$Q$71=E25), (F25="COORD")*GT_Cost_DataSheet_PY2!$U$2:$U$71)+SUMPRODUCT(GT_Cost_DataSheet_PY2!$AB$2:$AB$71, --(GT_Cost_DataSheet_PY2!$Q$2:$Q$71=E25), (F25="SUP")*GT_Cost_DataSheet_PY2!$V$2:$V$71)</f>
        <v>85063.556237529687</v>
      </c>
    </row>
    <row r="26" spans="1:10" s="111" customFormat="1">
      <c r="A26" s="174">
        <v>1.3</v>
      </c>
      <c r="B26" s="158" t="s">
        <v>140</v>
      </c>
      <c r="C26" s="158" t="s">
        <v>316</v>
      </c>
      <c r="D26" s="22" t="s">
        <v>318</v>
      </c>
      <c r="E26" s="159" t="s">
        <v>415</v>
      </c>
      <c r="F26" s="160" t="s">
        <v>302</v>
      </c>
      <c r="G26" s="160" t="s">
        <v>493</v>
      </c>
      <c r="H26" s="160"/>
      <c r="I26" s="161">
        <f>SUMPRODUCT(GT_Cost_DataSheet_PY2!$X$2:$X$71, --(GT_Cost_DataSheet_PY2!$Q$2:$Q$71=E26), (F26="OPS")*GT_Cost_DataSheet_PY2!$R$2:$R$71)+
SUMPRODUCT(GT_Cost_DataSheet_PY2!$X$2:$X$71, --(GT_Cost_DataSheet_PY2!$Q$2:$Q$71=E26), (F26="MAINT")*GT_Cost_DataSheet_PY2!$S$2:$S$71)+
SUMPRODUCT(GT_Cost_DataSheet_PY2!$X$2:$X$71, --(GT_Cost_DataSheet_PY2!$Q$2:$Q$71=E26), (F26="DEV")*GT_Cost_DataSheet_PY2!$T$2:$T$71)+
SUMPRODUCT(GT_Cost_DataSheet_PY2!$X$2:$X$71, --(GT_Cost_DataSheet_PY2!$Q$2:$Q$71=E26), (F26="COORD")*GT_Cost_DataSheet_PY2!$U$2:$U$71)+
SUMPRODUCT(GT_Cost_DataSheet_PY2!$X$2:$X$71, --(GT_Cost_DataSheet_PY2!$Q$2:$Q$71=E26), (F26="SUP")*GT_Cost_DataSheet_PY2!$V$2:$V$71)</f>
        <v>0</v>
      </c>
      <c r="J26" s="185">
        <f>SUMPRODUCT(GT_Cost_DataSheet_PY2!$AB$2:$AB$71, --(GT_Cost_DataSheet_PY2!$Q$2:$Q$71=E26), (F26="OPS")*GT_Cost_DataSheet_PY2!$R$2:$R$71)+SUMPRODUCT(GT_Cost_DataSheet_PY2!$AB$2:$AB$71, --(GT_Cost_DataSheet_PY2!$Q$2:$Q$71=E26), (F26="MAINT")*GT_Cost_DataSheet_PY2!$S$2:$S$71)+SUMPRODUCT(GT_Cost_DataSheet_PY2!$AB$2:$AB$71, --(GT_Cost_DataSheet_PY2!$Q$2:$Q$71=E26), (F26="DEV")*GT_Cost_DataSheet_PY2!$T$2:$T$71)+SUMPRODUCT(GT_Cost_DataSheet_PY2!$AB$2:$AB$71, --(GT_Cost_DataSheet_PY2!$Q$2:$Q$71=E26), (F26="COORD")*GT_Cost_DataSheet_PY2!$U$2:$U$71)+SUMPRODUCT(GT_Cost_DataSheet_PY2!$AB$2:$AB$71, --(GT_Cost_DataSheet_PY2!$Q$2:$Q$71=E26), (F26="SUP")*GT_Cost_DataSheet_PY2!$V$2:$V$71)</f>
        <v>0</v>
      </c>
    </row>
    <row r="27" spans="1:10" s="111" customFormat="1">
      <c r="A27" s="174">
        <v>1.3</v>
      </c>
      <c r="B27" s="158" t="s">
        <v>140</v>
      </c>
      <c r="C27" s="158" t="s">
        <v>316</v>
      </c>
      <c r="D27" s="22" t="s">
        <v>318</v>
      </c>
      <c r="E27" s="159" t="s">
        <v>415</v>
      </c>
      <c r="F27" s="160" t="s">
        <v>449</v>
      </c>
      <c r="G27" s="160" t="s">
        <v>496</v>
      </c>
      <c r="H27" s="160"/>
      <c r="I27" s="161">
        <f>SUMPRODUCT(GT_Cost_DataSheet_PY2!$X$2:$X$71, --(GT_Cost_DataSheet_PY2!$Q$2:$Q$71=E27), (F27="OPS")*GT_Cost_DataSheet_PY2!$R$2:$R$71)+
SUMPRODUCT(GT_Cost_DataSheet_PY2!$X$2:$X$71, --(GT_Cost_DataSheet_PY2!$Q$2:$Q$71=E27), (F27="MAINT")*GT_Cost_DataSheet_PY2!$S$2:$S$71)+
SUMPRODUCT(GT_Cost_DataSheet_PY2!$X$2:$X$71, --(GT_Cost_DataSheet_PY2!$Q$2:$Q$71=E27), (F27="DEV")*GT_Cost_DataSheet_PY2!$T$2:$T$71)+
SUMPRODUCT(GT_Cost_DataSheet_PY2!$X$2:$X$71, --(GT_Cost_DataSheet_PY2!$Q$2:$Q$71=E27), (F27="COORD")*GT_Cost_DataSheet_PY2!$U$2:$U$71)+
SUMPRODUCT(GT_Cost_DataSheet_PY2!$X$2:$X$71, --(GT_Cost_DataSheet_PY2!$Q$2:$Q$71=E27), (F27="SUP")*GT_Cost_DataSheet_PY2!$V$2:$V$71)</f>
        <v>0</v>
      </c>
      <c r="J27" s="185">
        <f>SUMPRODUCT(GT_Cost_DataSheet_PY2!$AB$2:$AB$71, --(GT_Cost_DataSheet_PY2!$Q$2:$Q$71=E27), (F27="OPS")*GT_Cost_DataSheet_PY2!$R$2:$R$71)+SUMPRODUCT(GT_Cost_DataSheet_PY2!$AB$2:$AB$71, --(GT_Cost_DataSheet_PY2!$Q$2:$Q$71=E27), (F27="MAINT")*GT_Cost_DataSheet_PY2!$S$2:$S$71)+SUMPRODUCT(GT_Cost_DataSheet_PY2!$AB$2:$AB$71, --(GT_Cost_DataSheet_PY2!$Q$2:$Q$71=E27), (F27="DEV")*GT_Cost_DataSheet_PY2!$T$2:$T$71)+SUMPRODUCT(GT_Cost_DataSheet_PY2!$AB$2:$AB$71, --(GT_Cost_DataSheet_PY2!$Q$2:$Q$71=E27), (F27="COORD")*GT_Cost_DataSheet_PY2!$U$2:$U$71)+SUMPRODUCT(GT_Cost_DataSheet_PY2!$AB$2:$AB$71, --(GT_Cost_DataSheet_PY2!$Q$2:$Q$71=E27), (F27="SUP")*GT_Cost_DataSheet_PY2!$V$2:$V$71)</f>
        <v>0</v>
      </c>
    </row>
    <row r="28" spans="1:10" s="111" customFormat="1">
      <c r="A28" s="174">
        <v>1.3</v>
      </c>
      <c r="B28" s="117" t="s">
        <v>140</v>
      </c>
      <c r="C28" s="117" t="s">
        <v>316</v>
      </c>
      <c r="D28" s="111" t="s">
        <v>317</v>
      </c>
      <c r="E28" s="119" t="s">
        <v>394</v>
      </c>
      <c r="F28" s="121" t="s">
        <v>302</v>
      </c>
      <c r="G28" s="121" t="s">
        <v>412</v>
      </c>
      <c r="H28" s="121"/>
      <c r="I28" s="123">
        <f>SUMPRODUCT(GT_Cost_DataSheet_PY2!$X$2:$X$71, --(GT_Cost_DataSheet_PY2!$Q$2:$Q$71=E28), (F28="OPS")*GT_Cost_DataSheet_PY2!$R$2:$R$71)+
SUMPRODUCT(GT_Cost_DataSheet_PY2!$X$2:$X$71, --(GT_Cost_DataSheet_PY2!$Q$2:$Q$71=E28), (F28="MAINT")*GT_Cost_DataSheet_PY2!$S$2:$S$71)+
SUMPRODUCT(GT_Cost_DataSheet_PY2!$X$2:$X$71, --(GT_Cost_DataSheet_PY2!$Q$2:$Q$71=E28), (F28="DEV")*GT_Cost_DataSheet_PY2!$T$2:$T$71)+
SUMPRODUCT(GT_Cost_DataSheet_PY2!$X$2:$X$71, --(GT_Cost_DataSheet_PY2!$Q$2:$Q$71=E28), (F28="COORD")*GT_Cost_DataSheet_PY2!$U$2:$U$71)+
SUMPRODUCT(GT_Cost_DataSheet_PY2!$X$2:$X$71, --(GT_Cost_DataSheet_PY2!$Q$2:$Q$71=E28), (F28="SUP")*GT_Cost_DataSheet_PY2!$V$2:$V$71)</f>
        <v>2.2549999999999999</v>
      </c>
      <c r="J28" s="184">
        <f>SUMPRODUCT(GT_Cost_DataSheet_PY2!$AB$2:$AB$71, --(GT_Cost_DataSheet_PY2!$Q$2:$Q$71=E28), (F28="OPS")*GT_Cost_DataSheet_PY2!$R$2:$R$71)+SUMPRODUCT(GT_Cost_DataSheet_PY2!$AB$2:$AB$71, --(GT_Cost_DataSheet_PY2!$Q$2:$Q$71=E28), (F28="MAINT")*GT_Cost_DataSheet_PY2!$S$2:$S$71)+SUMPRODUCT(GT_Cost_DataSheet_PY2!$AB$2:$AB$71, --(GT_Cost_DataSheet_PY2!$Q$2:$Q$71=E28), (F28="DEV")*GT_Cost_DataSheet_PY2!$T$2:$T$71)+SUMPRODUCT(GT_Cost_DataSheet_PY2!$AB$2:$AB$71, --(GT_Cost_DataSheet_PY2!$Q$2:$Q$71=E28), (F28="COORD")*GT_Cost_DataSheet_PY2!$U$2:$U$71)+SUMPRODUCT(GT_Cost_DataSheet_PY2!$AB$2:$AB$71, --(GT_Cost_DataSheet_PY2!$Q$2:$Q$71=E28), (F28="SUP")*GT_Cost_DataSheet_PY2!$V$2:$V$71)</f>
        <v>23045.505000000001</v>
      </c>
    </row>
    <row r="29" spans="1:10" s="111" customFormat="1">
      <c r="A29" s="174">
        <v>1.3</v>
      </c>
      <c r="B29" s="117" t="s">
        <v>140</v>
      </c>
      <c r="C29" s="117" t="s">
        <v>316</v>
      </c>
      <c r="D29" s="111" t="s">
        <v>317</v>
      </c>
      <c r="E29" s="119" t="s">
        <v>394</v>
      </c>
      <c r="F29" s="121" t="s">
        <v>449</v>
      </c>
      <c r="G29" s="121" t="s">
        <v>493</v>
      </c>
      <c r="H29" s="121"/>
      <c r="I29" s="123">
        <f>SUMPRODUCT(GT_Cost_DataSheet_PY2!$X$2:$X$71, --(GT_Cost_DataSheet_PY2!$Q$2:$Q$71=E29), (F29="OPS")*GT_Cost_DataSheet_PY2!$R$2:$R$71)+
SUMPRODUCT(GT_Cost_DataSheet_PY2!$X$2:$X$71, --(GT_Cost_DataSheet_PY2!$Q$2:$Q$71=E29), (F29="MAINT")*GT_Cost_DataSheet_PY2!$S$2:$S$71)+
SUMPRODUCT(GT_Cost_DataSheet_PY2!$X$2:$X$71, --(GT_Cost_DataSheet_PY2!$Q$2:$Q$71=E29), (F29="DEV")*GT_Cost_DataSheet_PY2!$T$2:$T$71)+
SUMPRODUCT(GT_Cost_DataSheet_PY2!$X$2:$X$71, --(GT_Cost_DataSheet_PY2!$Q$2:$Q$71=E29), (F29="COORD")*GT_Cost_DataSheet_PY2!$U$2:$U$71)+
SUMPRODUCT(GT_Cost_DataSheet_PY2!$X$2:$X$71, --(GT_Cost_DataSheet_PY2!$Q$2:$Q$71=E29), (F29="SUP")*GT_Cost_DataSheet_PY2!$V$2:$V$71)</f>
        <v>6.7649999999999997</v>
      </c>
      <c r="J29" s="184">
        <f>SUMPRODUCT(GT_Cost_DataSheet_PY2!$AB$2:$AB$71, --(GT_Cost_DataSheet_PY2!$Q$2:$Q$71=E29), (F29="OPS")*GT_Cost_DataSheet_PY2!$R$2:$R$71)+SUMPRODUCT(GT_Cost_DataSheet_PY2!$AB$2:$AB$71, --(GT_Cost_DataSheet_PY2!$Q$2:$Q$71=E29), (F29="MAINT")*GT_Cost_DataSheet_PY2!$S$2:$S$71)+SUMPRODUCT(GT_Cost_DataSheet_PY2!$AB$2:$AB$71, --(GT_Cost_DataSheet_PY2!$Q$2:$Q$71=E29), (F29="DEV")*GT_Cost_DataSheet_PY2!$T$2:$T$71)+SUMPRODUCT(GT_Cost_DataSheet_PY2!$AB$2:$AB$71, --(GT_Cost_DataSheet_PY2!$Q$2:$Q$71=E29), (F29="COORD")*GT_Cost_DataSheet_PY2!$U$2:$U$71)+SUMPRODUCT(GT_Cost_DataSheet_PY2!$AB$2:$AB$71, --(GT_Cost_DataSheet_PY2!$Q$2:$Q$71=E29), (F29="SUP")*GT_Cost_DataSheet_PY2!$V$2:$V$71)</f>
        <v>69136.514999999999</v>
      </c>
    </row>
    <row r="30" spans="1:10" s="111" customFormat="1">
      <c r="A30" s="174">
        <v>1.4</v>
      </c>
      <c r="B30" s="158" t="s">
        <v>140</v>
      </c>
      <c r="C30" s="158" t="s">
        <v>115</v>
      </c>
      <c r="D30" s="22" t="s">
        <v>322</v>
      </c>
      <c r="E30" s="159" t="s">
        <v>417</v>
      </c>
      <c r="F30" s="160" t="s">
        <v>302</v>
      </c>
      <c r="G30" s="160" t="s">
        <v>412</v>
      </c>
      <c r="H30" s="160"/>
      <c r="I30" s="161">
        <f>SUMPRODUCT(GT_Cost_DataSheet_PY2!$X$2:$X$71, --(GT_Cost_DataSheet_PY2!$Q$2:$Q$71=E30), (F30="OPS")*GT_Cost_DataSheet_PY2!$R$2:$R$71)+
SUMPRODUCT(GT_Cost_DataSheet_PY2!$X$2:$X$71, --(GT_Cost_DataSheet_PY2!$Q$2:$Q$71=E30), (F30="MAINT")*GT_Cost_DataSheet_PY2!$S$2:$S$71)+
SUMPRODUCT(GT_Cost_DataSheet_PY2!$X$2:$X$71, --(GT_Cost_DataSheet_PY2!$Q$2:$Q$71=E30), (F30="DEV")*GT_Cost_DataSheet_PY2!$T$2:$T$71)+
SUMPRODUCT(GT_Cost_DataSheet_PY2!$X$2:$X$71, --(GT_Cost_DataSheet_PY2!$Q$2:$Q$71=E30), (F30="COORD")*GT_Cost_DataSheet_PY2!$U$2:$U$71)+
SUMPRODUCT(GT_Cost_DataSheet_PY2!$X$2:$X$71, --(GT_Cost_DataSheet_PY2!$Q$2:$Q$71=E30), (F30="SUP")*GT_Cost_DataSheet_PY2!$V$2:$V$71)</f>
        <v>0</v>
      </c>
      <c r="J30" s="185">
        <f>SUMPRODUCT(GT_Cost_DataSheet_PY2!$AB$2:$AB$71, --(GT_Cost_DataSheet_PY2!$Q$2:$Q$71=E30), (F30="OPS")*GT_Cost_DataSheet_PY2!$R$2:$R$71)+SUMPRODUCT(GT_Cost_DataSheet_PY2!$AB$2:$AB$71, --(GT_Cost_DataSheet_PY2!$Q$2:$Q$71=E30), (F30="MAINT")*GT_Cost_DataSheet_PY2!$S$2:$S$71)+SUMPRODUCT(GT_Cost_DataSheet_PY2!$AB$2:$AB$71, --(GT_Cost_DataSheet_PY2!$Q$2:$Q$71=E30), (F30="DEV")*GT_Cost_DataSheet_PY2!$T$2:$T$71)+SUMPRODUCT(GT_Cost_DataSheet_PY2!$AB$2:$AB$71, --(GT_Cost_DataSheet_PY2!$Q$2:$Q$71=E30), (F30="COORD")*GT_Cost_DataSheet_PY2!$U$2:$U$71)+SUMPRODUCT(GT_Cost_DataSheet_PY2!$AB$2:$AB$71, --(GT_Cost_DataSheet_PY2!$Q$2:$Q$71=E30), (F30="SUP")*GT_Cost_DataSheet_PY2!$V$2:$V$71)</f>
        <v>0</v>
      </c>
    </row>
    <row r="31" spans="1:10" s="111" customFormat="1">
      <c r="A31" s="174">
        <v>1.4</v>
      </c>
      <c r="B31" s="158" t="s">
        <v>140</v>
      </c>
      <c r="C31" s="158" t="s">
        <v>115</v>
      </c>
      <c r="D31" s="22" t="s">
        <v>322</v>
      </c>
      <c r="E31" s="159" t="s">
        <v>417</v>
      </c>
      <c r="F31" s="160" t="s">
        <v>449</v>
      </c>
      <c r="G31" s="160" t="s">
        <v>412</v>
      </c>
      <c r="H31" s="160"/>
      <c r="I31" s="161">
        <f>SUMPRODUCT(GT_Cost_DataSheet_PY2!$X$2:$X$71, --(GT_Cost_DataSheet_PY2!$Q$2:$Q$71=E31), (F31="OPS")*GT_Cost_DataSheet_PY2!$R$2:$R$71)+
SUMPRODUCT(GT_Cost_DataSheet_PY2!$X$2:$X$71, --(GT_Cost_DataSheet_PY2!$Q$2:$Q$71=E31), (F31="MAINT")*GT_Cost_DataSheet_PY2!$S$2:$S$71)+
SUMPRODUCT(GT_Cost_DataSheet_PY2!$X$2:$X$71, --(GT_Cost_DataSheet_PY2!$Q$2:$Q$71=E31), (F31="DEV")*GT_Cost_DataSheet_PY2!$T$2:$T$71)+
SUMPRODUCT(GT_Cost_DataSheet_PY2!$X$2:$X$71, --(GT_Cost_DataSheet_PY2!$Q$2:$Q$71=E31), (F31="COORD")*GT_Cost_DataSheet_PY2!$U$2:$U$71)+
SUMPRODUCT(GT_Cost_DataSheet_PY2!$X$2:$X$71, --(GT_Cost_DataSheet_PY2!$Q$2:$Q$71=E31), (F31="SUP")*GT_Cost_DataSheet_PY2!$V$2:$V$71)</f>
        <v>0</v>
      </c>
      <c r="J31" s="185">
        <f>SUMPRODUCT(GT_Cost_DataSheet_PY2!$AB$2:$AB$71, --(GT_Cost_DataSheet_PY2!$Q$2:$Q$71=E31), (F31="OPS")*GT_Cost_DataSheet_PY2!$R$2:$R$71)+SUMPRODUCT(GT_Cost_DataSheet_PY2!$AB$2:$AB$71, --(GT_Cost_DataSheet_PY2!$Q$2:$Q$71=E31), (F31="MAINT")*GT_Cost_DataSheet_PY2!$S$2:$S$71)+SUMPRODUCT(GT_Cost_DataSheet_PY2!$AB$2:$AB$71, --(GT_Cost_DataSheet_PY2!$Q$2:$Q$71=E31), (F31="DEV")*GT_Cost_DataSheet_PY2!$T$2:$T$71)+SUMPRODUCT(GT_Cost_DataSheet_PY2!$AB$2:$AB$71, --(GT_Cost_DataSheet_PY2!$Q$2:$Q$71=E31), (F31="COORD")*GT_Cost_DataSheet_PY2!$U$2:$U$71)+SUMPRODUCT(GT_Cost_DataSheet_PY2!$AB$2:$AB$71, --(GT_Cost_DataSheet_PY2!$Q$2:$Q$71=E31), (F31="SUP")*GT_Cost_DataSheet_PY2!$V$2:$V$71)</f>
        <v>0</v>
      </c>
    </row>
    <row r="32" spans="1:10" s="111" customFormat="1">
      <c r="A32" s="174">
        <v>1.4</v>
      </c>
      <c r="B32" s="158" t="s">
        <v>140</v>
      </c>
      <c r="C32" s="158" t="s">
        <v>115</v>
      </c>
      <c r="D32" s="22" t="s">
        <v>321</v>
      </c>
      <c r="E32" s="159" t="s">
        <v>416</v>
      </c>
      <c r="F32" s="160" t="s">
        <v>302</v>
      </c>
      <c r="G32" s="160" t="s">
        <v>412</v>
      </c>
      <c r="H32" s="160"/>
      <c r="I32" s="161">
        <f>SUMPRODUCT(GT_Cost_DataSheet_PY2!$X$2:$X$71, --(GT_Cost_DataSheet_PY2!$Q$2:$Q$71=E32), (F32="OPS")*GT_Cost_DataSheet_PY2!$R$2:$R$71)+
SUMPRODUCT(GT_Cost_DataSheet_PY2!$X$2:$X$71, --(GT_Cost_DataSheet_PY2!$Q$2:$Q$71=E32), (F32="MAINT")*GT_Cost_DataSheet_PY2!$S$2:$S$71)+
SUMPRODUCT(GT_Cost_DataSheet_PY2!$X$2:$X$71, --(GT_Cost_DataSheet_PY2!$Q$2:$Q$71=E32), (F32="DEV")*GT_Cost_DataSheet_PY2!$T$2:$T$71)+
SUMPRODUCT(GT_Cost_DataSheet_PY2!$X$2:$X$71, --(GT_Cost_DataSheet_PY2!$Q$2:$Q$71=E32), (F32="COORD")*GT_Cost_DataSheet_PY2!$U$2:$U$71)+
SUMPRODUCT(GT_Cost_DataSheet_PY2!$X$2:$X$71, --(GT_Cost_DataSheet_PY2!$Q$2:$Q$71=E32), (F32="SUP")*GT_Cost_DataSheet_PY2!$V$2:$V$71)</f>
        <v>0</v>
      </c>
      <c r="J32" s="185">
        <f>SUMPRODUCT(GT_Cost_DataSheet_PY2!$AB$2:$AB$71, --(GT_Cost_DataSheet_PY2!$Q$2:$Q$71=E32), (F32="OPS")*GT_Cost_DataSheet_PY2!$R$2:$R$71)+SUMPRODUCT(GT_Cost_DataSheet_PY2!$AB$2:$AB$71, --(GT_Cost_DataSheet_PY2!$Q$2:$Q$71=E32), (F32="MAINT")*GT_Cost_DataSheet_PY2!$S$2:$S$71)+SUMPRODUCT(GT_Cost_DataSheet_PY2!$AB$2:$AB$71, --(GT_Cost_DataSheet_PY2!$Q$2:$Q$71=E32), (F32="DEV")*GT_Cost_DataSheet_PY2!$T$2:$T$71)+SUMPRODUCT(GT_Cost_DataSheet_PY2!$AB$2:$AB$71, --(GT_Cost_DataSheet_PY2!$Q$2:$Q$71=E32), (F32="COORD")*GT_Cost_DataSheet_PY2!$U$2:$U$71)+SUMPRODUCT(GT_Cost_DataSheet_PY2!$AB$2:$AB$71, --(GT_Cost_DataSheet_PY2!$Q$2:$Q$71=E32), (F32="SUP")*GT_Cost_DataSheet_PY2!$V$2:$V$71)</f>
        <v>0</v>
      </c>
    </row>
    <row r="33" spans="1:10" s="111" customFormat="1">
      <c r="A33" s="174">
        <v>1.4</v>
      </c>
      <c r="B33" s="158" t="s">
        <v>140</v>
      </c>
      <c r="C33" s="158" t="s">
        <v>115</v>
      </c>
      <c r="D33" s="22" t="s">
        <v>321</v>
      </c>
      <c r="E33" s="159" t="s">
        <v>416</v>
      </c>
      <c r="F33" s="160" t="s">
        <v>449</v>
      </c>
      <c r="G33" s="160" t="s">
        <v>412</v>
      </c>
      <c r="H33" s="160"/>
      <c r="I33" s="161">
        <f>SUMPRODUCT(GT_Cost_DataSheet_PY2!$X$2:$X$71, --(GT_Cost_DataSheet_PY2!$Q$2:$Q$71=E33), (F33="OPS")*GT_Cost_DataSheet_PY2!$R$2:$R$71)+
SUMPRODUCT(GT_Cost_DataSheet_PY2!$X$2:$X$71, --(GT_Cost_DataSheet_PY2!$Q$2:$Q$71=E33), (F33="MAINT")*GT_Cost_DataSheet_PY2!$S$2:$S$71)+
SUMPRODUCT(GT_Cost_DataSheet_PY2!$X$2:$X$71, --(GT_Cost_DataSheet_PY2!$Q$2:$Q$71=E33), (F33="DEV")*GT_Cost_DataSheet_PY2!$T$2:$T$71)+
SUMPRODUCT(GT_Cost_DataSheet_PY2!$X$2:$X$71, --(GT_Cost_DataSheet_PY2!$Q$2:$Q$71=E33), (F33="COORD")*GT_Cost_DataSheet_PY2!$U$2:$U$71)+
SUMPRODUCT(GT_Cost_DataSheet_PY2!$X$2:$X$71, --(GT_Cost_DataSheet_PY2!$Q$2:$Q$71=E33), (F33="SUP")*GT_Cost_DataSheet_PY2!$V$2:$V$71)</f>
        <v>0</v>
      </c>
      <c r="J33" s="185">
        <f>SUMPRODUCT(GT_Cost_DataSheet_PY2!$AB$2:$AB$71, --(GT_Cost_DataSheet_PY2!$Q$2:$Q$71=E33), (F33="OPS")*GT_Cost_DataSheet_PY2!$R$2:$R$71)+SUMPRODUCT(GT_Cost_DataSheet_PY2!$AB$2:$AB$71, --(GT_Cost_DataSheet_PY2!$Q$2:$Q$71=E33), (F33="MAINT")*GT_Cost_DataSheet_PY2!$S$2:$S$71)+SUMPRODUCT(GT_Cost_DataSheet_PY2!$AB$2:$AB$71, --(GT_Cost_DataSheet_PY2!$Q$2:$Q$71=E33), (F33="DEV")*GT_Cost_DataSheet_PY2!$T$2:$T$71)+SUMPRODUCT(GT_Cost_DataSheet_PY2!$AB$2:$AB$71, --(GT_Cost_DataSheet_PY2!$Q$2:$Q$71=E33), (F33="COORD")*GT_Cost_DataSheet_PY2!$U$2:$U$71)+SUMPRODUCT(GT_Cost_DataSheet_PY2!$AB$2:$AB$71, --(GT_Cost_DataSheet_PY2!$Q$2:$Q$71=E33), (F33="SUP")*GT_Cost_DataSheet_PY2!$V$2:$V$71)</f>
        <v>0</v>
      </c>
    </row>
    <row r="34" spans="1:10" s="111" customFormat="1">
      <c r="A34" s="174">
        <v>1.4</v>
      </c>
      <c r="B34" s="158" t="s">
        <v>140</v>
      </c>
      <c r="C34" s="158" t="s">
        <v>115</v>
      </c>
      <c r="D34" s="22" t="s">
        <v>323</v>
      </c>
      <c r="E34" s="159" t="s">
        <v>418</v>
      </c>
      <c r="F34" s="160" t="s">
        <v>302</v>
      </c>
      <c r="G34" s="160" t="s">
        <v>496</v>
      </c>
      <c r="H34" s="160"/>
      <c r="I34" s="161">
        <f>SUMPRODUCT(GT_Cost_DataSheet_PY2!$X$2:$X$71, --(GT_Cost_DataSheet_PY2!$Q$2:$Q$71=E34), (F34="OPS")*GT_Cost_DataSheet_PY2!$R$2:$R$71)+
SUMPRODUCT(GT_Cost_DataSheet_PY2!$X$2:$X$71, --(GT_Cost_DataSheet_PY2!$Q$2:$Q$71=E34), (F34="MAINT")*GT_Cost_DataSheet_PY2!$S$2:$S$71)+
SUMPRODUCT(GT_Cost_DataSheet_PY2!$X$2:$X$71, --(GT_Cost_DataSheet_PY2!$Q$2:$Q$71=E34), (F34="DEV")*GT_Cost_DataSheet_PY2!$T$2:$T$71)+
SUMPRODUCT(GT_Cost_DataSheet_PY2!$X$2:$X$71, --(GT_Cost_DataSheet_PY2!$Q$2:$Q$71=E34), (F34="COORD")*GT_Cost_DataSheet_PY2!$U$2:$U$71)+
SUMPRODUCT(GT_Cost_DataSheet_PY2!$X$2:$X$71, --(GT_Cost_DataSheet_PY2!$Q$2:$Q$71=E34), (F34="SUP")*GT_Cost_DataSheet_PY2!$V$2:$V$71)</f>
        <v>0</v>
      </c>
      <c r="J34" s="185">
        <f>SUMPRODUCT(GT_Cost_DataSheet_PY2!$AB$2:$AB$71, --(GT_Cost_DataSheet_PY2!$Q$2:$Q$71=E34), (F34="OPS")*GT_Cost_DataSheet_PY2!$R$2:$R$71)+SUMPRODUCT(GT_Cost_DataSheet_PY2!$AB$2:$AB$71, --(GT_Cost_DataSheet_PY2!$Q$2:$Q$71=E34), (F34="MAINT")*GT_Cost_DataSheet_PY2!$S$2:$S$71)+SUMPRODUCT(GT_Cost_DataSheet_PY2!$AB$2:$AB$71, --(GT_Cost_DataSheet_PY2!$Q$2:$Q$71=E34), (F34="DEV")*GT_Cost_DataSheet_PY2!$T$2:$T$71)+SUMPRODUCT(GT_Cost_DataSheet_PY2!$AB$2:$AB$71, --(GT_Cost_DataSheet_PY2!$Q$2:$Q$71=E34), (F34="COORD")*GT_Cost_DataSheet_PY2!$U$2:$U$71)+SUMPRODUCT(GT_Cost_DataSheet_PY2!$AB$2:$AB$71, --(GT_Cost_DataSheet_PY2!$Q$2:$Q$71=E34), (F34="SUP")*GT_Cost_DataSheet_PY2!$V$2:$V$71)</f>
        <v>0</v>
      </c>
    </row>
    <row r="35" spans="1:10" s="111" customFormat="1">
      <c r="A35" s="174">
        <v>1.4</v>
      </c>
      <c r="B35" s="158" t="s">
        <v>140</v>
      </c>
      <c r="C35" s="158" t="s">
        <v>115</v>
      </c>
      <c r="D35" s="22" t="s">
        <v>323</v>
      </c>
      <c r="E35" s="159" t="s">
        <v>418</v>
      </c>
      <c r="F35" s="160" t="s">
        <v>449</v>
      </c>
      <c r="G35" s="160" t="s">
        <v>496</v>
      </c>
      <c r="H35" s="160"/>
      <c r="I35" s="161">
        <f>SUMPRODUCT(GT_Cost_DataSheet_PY2!$X$2:$X$71, --(GT_Cost_DataSheet_PY2!$Q$2:$Q$71=E35), (F35="OPS")*GT_Cost_DataSheet_PY2!$R$2:$R$71)+
SUMPRODUCT(GT_Cost_DataSheet_PY2!$X$2:$X$71, --(GT_Cost_DataSheet_PY2!$Q$2:$Q$71=E35), (F35="MAINT")*GT_Cost_DataSheet_PY2!$S$2:$S$71)+
SUMPRODUCT(GT_Cost_DataSheet_PY2!$X$2:$X$71, --(GT_Cost_DataSheet_PY2!$Q$2:$Q$71=E35), (F35="DEV")*GT_Cost_DataSheet_PY2!$T$2:$T$71)+
SUMPRODUCT(GT_Cost_DataSheet_PY2!$X$2:$X$71, --(GT_Cost_DataSheet_PY2!$Q$2:$Q$71=E35), (F35="COORD")*GT_Cost_DataSheet_PY2!$U$2:$U$71)+
SUMPRODUCT(GT_Cost_DataSheet_PY2!$X$2:$X$71, --(GT_Cost_DataSheet_PY2!$Q$2:$Q$71=E35), (F35="SUP")*GT_Cost_DataSheet_PY2!$V$2:$V$71)</f>
        <v>0</v>
      </c>
      <c r="J35" s="185">
        <f>SUMPRODUCT(GT_Cost_DataSheet_PY2!$AB$2:$AB$71, --(GT_Cost_DataSheet_PY2!$Q$2:$Q$71=E35), (F35="OPS")*GT_Cost_DataSheet_PY2!$R$2:$R$71)+SUMPRODUCT(GT_Cost_DataSheet_PY2!$AB$2:$AB$71, --(GT_Cost_DataSheet_PY2!$Q$2:$Q$71=E35), (F35="MAINT")*GT_Cost_DataSheet_PY2!$S$2:$S$71)+SUMPRODUCT(GT_Cost_DataSheet_PY2!$AB$2:$AB$71, --(GT_Cost_DataSheet_PY2!$Q$2:$Q$71=E35), (F35="DEV")*GT_Cost_DataSheet_PY2!$T$2:$T$71)+SUMPRODUCT(GT_Cost_DataSheet_PY2!$AB$2:$AB$71, --(GT_Cost_DataSheet_PY2!$Q$2:$Q$71=E35), (F35="COORD")*GT_Cost_DataSheet_PY2!$U$2:$U$71)+SUMPRODUCT(GT_Cost_DataSheet_PY2!$AB$2:$AB$71, --(GT_Cost_DataSheet_PY2!$Q$2:$Q$71=E35), (F35="SUP")*GT_Cost_DataSheet_PY2!$V$2:$V$71)</f>
        <v>0</v>
      </c>
    </row>
    <row r="36" spans="1:10" s="111" customFormat="1">
      <c r="A36" s="174">
        <v>1.4</v>
      </c>
      <c r="B36" s="117" t="s">
        <v>140</v>
      </c>
      <c r="C36" s="117" t="s">
        <v>115</v>
      </c>
      <c r="D36" s="111" t="s">
        <v>404</v>
      </c>
      <c r="E36" s="119" t="s">
        <v>419</v>
      </c>
      <c r="F36" s="121" t="s">
        <v>302</v>
      </c>
      <c r="G36" s="121" t="s">
        <v>412</v>
      </c>
      <c r="H36" s="121"/>
      <c r="I36" s="123">
        <f>SUMPRODUCT(GT_Cost_DataSheet_PY2!$X$2:$X$71, --(GT_Cost_DataSheet_PY2!$Q$2:$Q$71=E36), (F36="OPS")*GT_Cost_DataSheet_PY2!$R$2:$R$71)+
SUMPRODUCT(GT_Cost_DataSheet_PY2!$X$2:$X$71, --(GT_Cost_DataSheet_PY2!$Q$2:$Q$71=E36), (F36="MAINT")*GT_Cost_DataSheet_PY2!$S$2:$S$71)+
SUMPRODUCT(GT_Cost_DataSheet_PY2!$X$2:$X$71, --(GT_Cost_DataSheet_PY2!$Q$2:$Q$71=E36), (F36="DEV")*GT_Cost_DataSheet_PY2!$T$2:$T$71)+
SUMPRODUCT(GT_Cost_DataSheet_PY2!$X$2:$X$71, --(GT_Cost_DataSheet_PY2!$Q$2:$Q$71=E36), (F36="COORD")*GT_Cost_DataSheet_PY2!$U$2:$U$71)+
SUMPRODUCT(GT_Cost_DataSheet_PY2!$X$2:$X$71, --(GT_Cost_DataSheet_PY2!$Q$2:$Q$71=E36), (F36="SUP")*GT_Cost_DataSheet_PY2!$V$2:$V$71)</f>
        <v>4.1250000000000002E-2</v>
      </c>
      <c r="J36" s="184">
        <f>SUMPRODUCT(GT_Cost_DataSheet_PY2!$AB$2:$AB$71, --(GT_Cost_DataSheet_PY2!$Q$2:$Q$71=E36), (F36="OPS")*GT_Cost_DataSheet_PY2!$R$2:$R$71)+SUMPRODUCT(GT_Cost_DataSheet_PY2!$AB$2:$AB$71, --(GT_Cost_DataSheet_PY2!$Q$2:$Q$71=E36), (F36="MAINT")*GT_Cost_DataSheet_PY2!$S$2:$S$71)+SUMPRODUCT(GT_Cost_DataSheet_PY2!$AB$2:$AB$71, --(GT_Cost_DataSheet_PY2!$Q$2:$Q$71=E36), (F36="DEV")*GT_Cost_DataSheet_PY2!$T$2:$T$71)+SUMPRODUCT(GT_Cost_DataSheet_PY2!$AB$2:$AB$71, --(GT_Cost_DataSheet_PY2!$Q$2:$Q$71=E36), (F36="COORD")*GT_Cost_DataSheet_PY2!$U$2:$U$71)+SUMPRODUCT(GT_Cost_DataSheet_PY2!$AB$2:$AB$71, --(GT_Cost_DataSheet_PY2!$Q$2:$Q$71=E36), (F36="SUP")*GT_Cost_DataSheet_PY2!$V$2:$V$71)</f>
        <v>6816.2919999999995</v>
      </c>
    </row>
    <row r="37" spans="1:10" s="111" customFormat="1">
      <c r="A37" s="174">
        <v>1.4</v>
      </c>
      <c r="B37" s="117" t="s">
        <v>140</v>
      </c>
      <c r="C37" s="117" t="s">
        <v>115</v>
      </c>
      <c r="D37" s="111" t="s">
        <v>404</v>
      </c>
      <c r="E37" s="119" t="s">
        <v>419</v>
      </c>
      <c r="F37" s="121" t="s">
        <v>449</v>
      </c>
      <c r="G37" s="121" t="s">
        <v>412</v>
      </c>
      <c r="H37" s="121"/>
      <c r="I37" s="123">
        <f>SUMPRODUCT(GT_Cost_DataSheet_PY2!$X$2:$X$71, --(GT_Cost_DataSheet_PY2!$Q$2:$Q$71=E37), (F37="OPS")*GT_Cost_DataSheet_PY2!$R$2:$R$71)+
SUMPRODUCT(GT_Cost_DataSheet_PY2!$X$2:$X$71, --(GT_Cost_DataSheet_PY2!$Q$2:$Q$71=E37), (F37="MAINT")*GT_Cost_DataSheet_PY2!$S$2:$S$71)+
SUMPRODUCT(GT_Cost_DataSheet_PY2!$X$2:$X$71, --(GT_Cost_DataSheet_PY2!$Q$2:$Q$71=E37), (F37="DEV")*GT_Cost_DataSheet_PY2!$T$2:$T$71)+
SUMPRODUCT(GT_Cost_DataSheet_PY2!$X$2:$X$71, --(GT_Cost_DataSheet_PY2!$Q$2:$Q$71=E37), (F37="COORD")*GT_Cost_DataSheet_PY2!$U$2:$U$71)+
SUMPRODUCT(GT_Cost_DataSheet_PY2!$X$2:$X$71, --(GT_Cost_DataSheet_PY2!$Q$2:$Q$71=E37), (F37="SUP")*GT_Cost_DataSheet_PY2!$V$2:$V$71)</f>
        <v>0.12375</v>
      </c>
      <c r="J37" s="184">
        <f>SUMPRODUCT(GT_Cost_DataSheet_PY2!$AB$2:$AB$71, --(GT_Cost_DataSheet_PY2!$Q$2:$Q$71=E37), (F37="OPS")*GT_Cost_DataSheet_PY2!$R$2:$R$71)+SUMPRODUCT(GT_Cost_DataSheet_PY2!$AB$2:$AB$71, --(GT_Cost_DataSheet_PY2!$Q$2:$Q$71=E37), (F37="MAINT")*GT_Cost_DataSheet_PY2!$S$2:$S$71)+SUMPRODUCT(GT_Cost_DataSheet_PY2!$AB$2:$AB$71, --(GT_Cost_DataSheet_PY2!$Q$2:$Q$71=E37), (F37="DEV")*GT_Cost_DataSheet_PY2!$T$2:$T$71)+SUMPRODUCT(GT_Cost_DataSheet_PY2!$AB$2:$AB$71, --(GT_Cost_DataSheet_PY2!$Q$2:$Q$71=E37), (F37="COORD")*GT_Cost_DataSheet_PY2!$U$2:$U$71)+SUMPRODUCT(GT_Cost_DataSheet_PY2!$AB$2:$AB$71, --(GT_Cost_DataSheet_PY2!$Q$2:$Q$71=E37), (F37="SUP")*GT_Cost_DataSheet_PY2!$V$2:$V$71)</f>
        <v>20448.875999999997</v>
      </c>
    </row>
    <row r="38" spans="1:10" s="111" customFormat="1">
      <c r="A38" s="174">
        <v>1.4</v>
      </c>
      <c r="B38" s="117" t="s">
        <v>140</v>
      </c>
      <c r="C38" s="117" t="s">
        <v>115</v>
      </c>
      <c r="D38" s="111" t="s">
        <v>320</v>
      </c>
      <c r="E38" s="119" t="s">
        <v>380</v>
      </c>
      <c r="F38" s="121" t="s">
        <v>302</v>
      </c>
      <c r="G38" s="121" t="s">
        <v>412</v>
      </c>
      <c r="H38" s="121"/>
      <c r="I38" s="123">
        <f>SUMPRODUCT(GT_Cost_DataSheet_PY2!$X$2:$X$71, --(GT_Cost_DataSheet_PY2!$Q$2:$Q$71=E38), (F38="OPS")*GT_Cost_DataSheet_PY2!$R$2:$R$71)+
SUMPRODUCT(GT_Cost_DataSheet_PY2!$X$2:$X$71, --(GT_Cost_DataSheet_PY2!$Q$2:$Q$71=E38), (F38="MAINT")*GT_Cost_DataSheet_PY2!$S$2:$S$71)+
SUMPRODUCT(GT_Cost_DataSheet_PY2!$X$2:$X$71, --(GT_Cost_DataSheet_PY2!$Q$2:$Q$71=E38), (F38="DEV")*GT_Cost_DataSheet_PY2!$T$2:$T$71)+
SUMPRODUCT(GT_Cost_DataSheet_PY2!$X$2:$X$71, --(GT_Cost_DataSheet_PY2!$Q$2:$Q$71=E38), (F38="COORD")*GT_Cost_DataSheet_PY2!$U$2:$U$71)+
SUMPRODUCT(GT_Cost_DataSheet_PY2!$X$2:$X$71, --(GT_Cost_DataSheet_PY2!$Q$2:$Q$71=E38), (F38="SUP")*GT_Cost_DataSheet_PY2!$V$2:$V$71)</f>
        <v>1.0744018600465011</v>
      </c>
      <c r="J38" s="184">
        <f>SUMPRODUCT(GT_Cost_DataSheet_PY2!$AB$2:$AB$71, --(GT_Cost_DataSheet_PY2!$Q$2:$Q$71=E38), (F38="OPS")*GT_Cost_DataSheet_PY2!$R$2:$R$71)+SUMPRODUCT(GT_Cost_DataSheet_PY2!$AB$2:$AB$71, --(GT_Cost_DataSheet_PY2!$Q$2:$Q$71=E38), (F38="MAINT")*GT_Cost_DataSheet_PY2!$S$2:$S$71)+SUMPRODUCT(GT_Cost_DataSheet_PY2!$AB$2:$AB$71, --(GT_Cost_DataSheet_PY2!$Q$2:$Q$71=E38), (F38="DEV")*GT_Cost_DataSheet_PY2!$T$2:$T$71)+SUMPRODUCT(GT_Cost_DataSheet_PY2!$AB$2:$AB$71, --(GT_Cost_DataSheet_PY2!$Q$2:$Q$71=E38), (F38="COORD")*GT_Cost_DataSheet_PY2!$U$2:$U$71)+SUMPRODUCT(GT_Cost_DataSheet_PY2!$AB$2:$AB$71, --(GT_Cost_DataSheet_PY2!$Q$2:$Q$71=E38), (F38="SUP")*GT_Cost_DataSheet_PY2!$V$2:$V$71)</f>
        <v>19914.239999999998</v>
      </c>
    </row>
    <row r="39" spans="1:10" s="111" customFormat="1">
      <c r="A39" s="174">
        <v>1.4</v>
      </c>
      <c r="B39" s="117" t="s">
        <v>140</v>
      </c>
      <c r="C39" s="117" t="s">
        <v>115</v>
      </c>
      <c r="D39" s="111" t="s">
        <v>319</v>
      </c>
      <c r="E39" s="119" t="s">
        <v>381</v>
      </c>
      <c r="F39" s="121" t="s">
        <v>302</v>
      </c>
      <c r="G39" s="121" t="s">
        <v>412</v>
      </c>
      <c r="H39" s="121"/>
      <c r="I39" s="123">
        <f>SUMPRODUCT(GT_Cost_DataSheet_PY2!$X$2:$X$71, --(GT_Cost_DataSheet_PY2!$Q$2:$Q$71=E39), (F39="OPS")*GT_Cost_DataSheet_PY2!$R$2:$R$71)+
SUMPRODUCT(GT_Cost_DataSheet_PY2!$X$2:$X$71, --(GT_Cost_DataSheet_PY2!$Q$2:$Q$71=E39), (F39="MAINT")*GT_Cost_DataSheet_PY2!$S$2:$S$71)+
SUMPRODUCT(GT_Cost_DataSheet_PY2!$X$2:$X$71, --(GT_Cost_DataSheet_PY2!$Q$2:$Q$71=E39), (F39="DEV")*GT_Cost_DataSheet_PY2!$T$2:$T$71)+
SUMPRODUCT(GT_Cost_DataSheet_PY2!$X$2:$X$71, --(GT_Cost_DataSheet_PY2!$Q$2:$Q$71=E39), (F39="COORD")*GT_Cost_DataSheet_PY2!$U$2:$U$71)+
SUMPRODUCT(GT_Cost_DataSheet_PY2!$X$2:$X$71, --(GT_Cost_DataSheet_PY2!$Q$2:$Q$71=E39), (F39="SUP")*GT_Cost_DataSheet_PY2!$V$2:$V$71)</f>
        <v>2.9023255813953486</v>
      </c>
      <c r="J39" s="184">
        <f>SUMPRODUCT(GT_Cost_DataSheet_PY2!$AB$2:$AB$71, --(GT_Cost_DataSheet_PY2!$Q$2:$Q$71=E39), (F39="OPS")*GT_Cost_DataSheet_PY2!$R$2:$R$71)+SUMPRODUCT(GT_Cost_DataSheet_PY2!$AB$2:$AB$71, --(GT_Cost_DataSheet_PY2!$Q$2:$Q$71=E39), (F39="MAINT")*GT_Cost_DataSheet_PY2!$S$2:$S$71)+SUMPRODUCT(GT_Cost_DataSheet_PY2!$AB$2:$AB$71, --(GT_Cost_DataSheet_PY2!$Q$2:$Q$71=E39), (F39="DEV")*GT_Cost_DataSheet_PY2!$T$2:$T$71)+SUMPRODUCT(GT_Cost_DataSheet_PY2!$AB$2:$AB$71, --(GT_Cost_DataSheet_PY2!$Q$2:$Q$71=E39), (F39="COORD")*GT_Cost_DataSheet_PY2!$U$2:$U$71)+SUMPRODUCT(GT_Cost_DataSheet_PY2!$AB$2:$AB$71, --(GT_Cost_DataSheet_PY2!$Q$2:$Q$71=E39), (F39="SUP")*GT_Cost_DataSheet_PY2!$V$2:$V$71)</f>
        <v>10362.130375000001</v>
      </c>
    </row>
    <row r="40" spans="1:10" s="111" customFormat="1">
      <c r="A40" s="174">
        <v>1.4</v>
      </c>
      <c r="B40" s="117" t="s">
        <v>140</v>
      </c>
      <c r="C40" s="117" t="s">
        <v>115</v>
      </c>
      <c r="D40" s="111" t="s">
        <v>320</v>
      </c>
      <c r="E40" s="119" t="s">
        <v>380</v>
      </c>
      <c r="F40" s="121" t="s">
        <v>449</v>
      </c>
      <c r="G40" s="121" t="s">
        <v>412</v>
      </c>
      <c r="H40" s="121"/>
      <c r="I40" s="123">
        <f>SUMPRODUCT(GT_Cost_DataSheet_PY2!$X$2:$X$71, --(GT_Cost_DataSheet_PY2!$Q$2:$Q$71=E40), (F40="OPS")*GT_Cost_DataSheet_PY2!$R$2:$R$71)+
SUMPRODUCT(GT_Cost_DataSheet_PY2!$X$2:$X$71, --(GT_Cost_DataSheet_PY2!$Q$2:$Q$71=E40), (F40="MAINT")*GT_Cost_DataSheet_PY2!$S$2:$S$71)+
SUMPRODUCT(GT_Cost_DataSheet_PY2!$X$2:$X$71, --(GT_Cost_DataSheet_PY2!$Q$2:$Q$71=E40), (F40="DEV")*GT_Cost_DataSheet_PY2!$T$2:$T$71)+
SUMPRODUCT(GT_Cost_DataSheet_PY2!$X$2:$X$71, --(GT_Cost_DataSheet_PY2!$Q$2:$Q$71=E40), (F40="COORD")*GT_Cost_DataSheet_PY2!$U$2:$U$71)+
SUMPRODUCT(GT_Cost_DataSheet_PY2!$X$2:$X$71, --(GT_Cost_DataSheet_PY2!$Q$2:$Q$71=E40), (F40="SUP")*GT_Cost_DataSheet_PY2!$V$2:$V$71)</f>
        <v>3.2232055801395032</v>
      </c>
      <c r="J40" s="184">
        <f>SUMPRODUCT(GT_Cost_DataSheet_PY2!$AB$2:$AB$71, --(GT_Cost_DataSheet_PY2!$Q$2:$Q$71=E40), (F40="OPS")*GT_Cost_DataSheet_PY2!$R$2:$R$71)+SUMPRODUCT(GT_Cost_DataSheet_PY2!$AB$2:$AB$71, --(GT_Cost_DataSheet_PY2!$Q$2:$Q$71=E40), (F40="MAINT")*GT_Cost_DataSheet_PY2!$S$2:$S$71)+SUMPRODUCT(GT_Cost_DataSheet_PY2!$AB$2:$AB$71, --(GT_Cost_DataSheet_PY2!$Q$2:$Q$71=E40), (F40="DEV")*GT_Cost_DataSheet_PY2!$T$2:$T$71)+SUMPRODUCT(GT_Cost_DataSheet_PY2!$AB$2:$AB$71, --(GT_Cost_DataSheet_PY2!$Q$2:$Q$71=E40), (F40="COORD")*GT_Cost_DataSheet_PY2!$U$2:$U$71)+SUMPRODUCT(GT_Cost_DataSheet_PY2!$AB$2:$AB$71, --(GT_Cost_DataSheet_PY2!$Q$2:$Q$71=E40), (F40="SUP")*GT_Cost_DataSheet_PY2!$V$2:$V$71)</f>
        <v>59742.719999999994</v>
      </c>
    </row>
    <row r="41" spans="1:10" s="111" customFormat="1">
      <c r="A41" s="174">
        <v>1.4</v>
      </c>
      <c r="B41" s="117" t="s">
        <v>140</v>
      </c>
      <c r="C41" s="117" t="s">
        <v>115</v>
      </c>
      <c r="D41" s="111" t="s">
        <v>319</v>
      </c>
      <c r="E41" s="119" t="s">
        <v>381</v>
      </c>
      <c r="F41" s="121" t="s">
        <v>449</v>
      </c>
      <c r="G41" s="121" t="s">
        <v>412</v>
      </c>
      <c r="H41" s="121"/>
      <c r="I41" s="123">
        <f>SUMPRODUCT(GT_Cost_DataSheet_PY2!$X$2:$X$71, --(GT_Cost_DataSheet_PY2!$Q$2:$Q$71=E41), (F41="OPS")*GT_Cost_DataSheet_PY2!$R$2:$R$71)+
SUMPRODUCT(GT_Cost_DataSheet_PY2!$X$2:$X$71, --(GT_Cost_DataSheet_PY2!$Q$2:$Q$71=E41), (F41="MAINT")*GT_Cost_DataSheet_PY2!$S$2:$S$71)+
SUMPRODUCT(GT_Cost_DataSheet_PY2!$X$2:$X$71, --(GT_Cost_DataSheet_PY2!$Q$2:$Q$71=E41), (F41="DEV")*GT_Cost_DataSheet_PY2!$T$2:$T$71)+
SUMPRODUCT(GT_Cost_DataSheet_PY2!$X$2:$X$71, --(GT_Cost_DataSheet_PY2!$Q$2:$Q$71=E41), (F41="COORD")*GT_Cost_DataSheet_PY2!$U$2:$U$71)+
SUMPRODUCT(GT_Cost_DataSheet_PY2!$X$2:$X$71, --(GT_Cost_DataSheet_PY2!$Q$2:$Q$71=E41), (F41="SUP")*GT_Cost_DataSheet_PY2!$V$2:$V$71)</f>
        <v>8.7069767441860453</v>
      </c>
      <c r="J41" s="184">
        <f>SUMPRODUCT(GT_Cost_DataSheet_PY2!$AB$2:$AB$71, --(GT_Cost_DataSheet_PY2!$Q$2:$Q$71=E41), (F41="OPS")*GT_Cost_DataSheet_PY2!$R$2:$R$71)+SUMPRODUCT(GT_Cost_DataSheet_PY2!$AB$2:$AB$71, --(GT_Cost_DataSheet_PY2!$Q$2:$Q$71=E41), (F41="MAINT")*GT_Cost_DataSheet_PY2!$S$2:$S$71)+SUMPRODUCT(GT_Cost_DataSheet_PY2!$AB$2:$AB$71, --(GT_Cost_DataSheet_PY2!$Q$2:$Q$71=E41), (F41="DEV")*GT_Cost_DataSheet_PY2!$T$2:$T$71)+SUMPRODUCT(GT_Cost_DataSheet_PY2!$AB$2:$AB$71, --(GT_Cost_DataSheet_PY2!$Q$2:$Q$71=E41), (F41="COORD")*GT_Cost_DataSheet_PY2!$U$2:$U$71)+SUMPRODUCT(GT_Cost_DataSheet_PY2!$AB$2:$AB$71, --(GT_Cost_DataSheet_PY2!$Q$2:$Q$71=E41), (F41="SUP")*GT_Cost_DataSheet_PY2!$V$2:$V$71)</f>
        <v>31086.391125000002</v>
      </c>
    </row>
    <row r="42" spans="1:10" s="111" customFormat="1">
      <c r="A42" s="174">
        <v>2.1</v>
      </c>
      <c r="B42" s="158" t="s">
        <v>324</v>
      </c>
      <c r="C42" s="22" t="s">
        <v>339</v>
      </c>
      <c r="D42" s="22" t="s">
        <v>344</v>
      </c>
      <c r="E42" s="159" t="s">
        <v>429</v>
      </c>
      <c r="F42" s="160" t="s">
        <v>302</v>
      </c>
      <c r="G42" s="160" t="s">
        <v>493</v>
      </c>
      <c r="H42" s="160"/>
      <c r="I42" s="161">
        <f>SUMPRODUCT(GT_Cost_DataSheet_PY2!$X$2:$X$71, --(GT_Cost_DataSheet_PY2!$Q$2:$Q$71=E42), (F42="OPS")*GT_Cost_DataSheet_PY2!$R$2:$R$71)+
SUMPRODUCT(GT_Cost_DataSheet_PY2!$X$2:$X$71, --(GT_Cost_DataSheet_PY2!$Q$2:$Q$71=E42), (F42="MAINT")*GT_Cost_DataSheet_PY2!$S$2:$S$71)+
SUMPRODUCT(GT_Cost_DataSheet_PY2!$X$2:$X$71, --(GT_Cost_DataSheet_PY2!$Q$2:$Q$71=E42), (F42="DEV")*GT_Cost_DataSheet_PY2!$T$2:$T$71)+
SUMPRODUCT(GT_Cost_DataSheet_PY2!$X$2:$X$71, --(GT_Cost_DataSheet_PY2!$Q$2:$Q$71=E42), (F42="COORD")*GT_Cost_DataSheet_PY2!$U$2:$U$71)+
SUMPRODUCT(GT_Cost_DataSheet_PY2!$X$2:$X$71, --(GT_Cost_DataSheet_PY2!$Q$2:$Q$71=E42), (F42="SUP")*GT_Cost_DataSheet_PY2!$V$2:$V$71)</f>
        <v>0</v>
      </c>
      <c r="J42" s="185">
        <f>SUMPRODUCT(GT_Cost_DataSheet_PY2!$AB$2:$AB$71, --(GT_Cost_DataSheet_PY2!$Q$2:$Q$71=E42), (F42="OPS")*GT_Cost_DataSheet_PY2!$R$2:$R$71)+SUMPRODUCT(GT_Cost_DataSheet_PY2!$AB$2:$AB$71, --(GT_Cost_DataSheet_PY2!$Q$2:$Q$71=E42), (F42="MAINT")*GT_Cost_DataSheet_PY2!$S$2:$S$71)+SUMPRODUCT(GT_Cost_DataSheet_PY2!$AB$2:$AB$71, --(GT_Cost_DataSheet_PY2!$Q$2:$Q$71=E42), (F42="DEV")*GT_Cost_DataSheet_PY2!$T$2:$T$71)+SUMPRODUCT(GT_Cost_DataSheet_PY2!$AB$2:$AB$71, --(GT_Cost_DataSheet_PY2!$Q$2:$Q$71=E42), (F42="COORD")*GT_Cost_DataSheet_PY2!$U$2:$U$71)+SUMPRODUCT(GT_Cost_DataSheet_PY2!$AB$2:$AB$71, --(GT_Cost_DataSheet_PY2!$Q$2:$Q$71=E42), (F42="SUP")*GT_Cost_DataSheet_PY2!$V$2:$V$71)</f>
        <v>0</v>
      </c>
    </row>
    <row r="43" spans="1:10" s="111" customFormat="1">
      <c r="A43" s="174">
        <v>2.1</v>
      </c>
      <c r="B43" s="158" t="s">
        <v>324</v>
      </c>
      <c r="C43" s="22" t="s">
        <v>339</v>
      </c>
      <c r="D43" s="22" t="s">
        <v>344</v>
      </c>
      <c r="E43" s="159" t="s">
        <v>429</v>
      </c>
      <c r="F43" s="160" t="s">
        <v>449</v>
      </c>
      <c r="G43" s="160" t="s">
        <v>493</v>
      </c>
      <c r="H43" s="160"/>
      <c r="I43" s="161">
        <f>SUMPRODUCT(GT_Cost_DataSheet_PY2!$X$2:$X$71, --(GT_Cost_DataSheet_PY2!$Q$2:$Q$71=E43), (F43="OPS")*GT_Cost_DataSheet_PY2!$R$2:$R$71)+
SUMPRODUCT(GT_Cost_DataSheet_PY2!$X$2:$X$71, --(GT_Cost_DataSheet_PY2!$Q$2:$Q$71=E43), (F43="MAINT")*GT_Cost_DataSheet_PY2!$S$2:$S$71)+
SUMPRODUCT(GT_Cost_DataSheet_PY2!$X$2:$X$71, --(GT_Cost_DataSheet_PY2!$Q$2:$Q$71=E43), (F43="DEV")*GT_Cost_DataSheet_PY2!$T$2:$T$71)+
SUMPRODUCT(GT_Cost_DataSheet_PY2!$X$2:$X$71, --(GT_Cost_DataSheet_PY2!$Q$2:$Q$71=E43), (F43="COORD")*GT_Cost_DataSheet_PY2!$U$2:$U$71)+
SUMPRODUCT(GT_Cost_DataSheet_PY2!$X$2:$X$71, --(GT_Cost_DataSheet_PY2!$Q$2:$Q$71=E43), (F43="SUP")*GT_Cost_DataSheet_PY2!$V$2:$V$71)</f>
        <v>0</v>
      </c>
      <c r="J43" s="185">
        <f>SUMPRODUCT(GT_Cost_DataSheet_PY2!$AB$2:$AB$71, --(GT_Cost_DataSheet_PY2!$Q$2:$Q$71=E43), (F43="OPS")*GT_Cost_DataSheet_PY2!$R$2:$R$71)+SUMPRODUCT(GT_Cost_DataSheet_PY2!$AB$2:$AB$71, --(GT_Cost_DataSheet_PY2!$Q$2:$Q$71=E43), (F43="MAINT")*GT_Cost_DataSheet_PY2!$S$2:$S$71)+SUMPRODUCT(GT_Cost_DataSheet_PY2!$AB$2:$AB$71, --(GT_Cost_DataSheet_PY2!$Q$2:$Q$71=E43), (F43="DEV")*GT_Cost_DataSheet_PY2!$T$2:$T$71)+SUMPRODUCT(GT_Cost_DataSheet_PY2!$AB$2:$AB$71, --(GT_Cost_DataSheet_PY2!$Q$2:$Q$71=E43), (F43="COORD")*GT_Cost_DataSheet_PY2!$U$2:$U$71)+SUMPRODUCT(GT_Cost_DataSheet_PY2!$AB$2:$AB$71, --(GT_Cost_DataSheet_PY2!$Q$2:$Q$71=E43), (F43="SUP")*GT_Cost_DataSheet_PY2!$V$2:$V$71)</f>
        <v>0</v>
      </c>
    </row>
    <row r="44" spans="1:10" s="111" customFormat="1">
      <c r="A44" s="174">
        <v>2.1</v>
      </c>
      <c r="B44" s="158" t="s">
        <v>324</v>
      </c>
      <c r="C44" s="22" t="s">
        <v>339</v>
      </c>
      <c r="D44" s="22" t="s">
        <v>346</v>
      </c>
      <c r="E44" s="159" t="s">
        <v>432</v>
      </c>
      <c r="F44" s="160" t="s">
        <v>302</v>
      </c>
      <c r="G44" s="160" t="s">
        <v>446</v>
      </c>
      <c r="H44" s="160"/>
      <c r="I44" s="161">
        <f>SUMPRODUCT(GT_Cost_DataSheet_PY2!$X$2:$X$71, --(GT_Cost_DataSheet_PY2!$Q$2:$Q$71=E44), (F44="OPS")*GT_Cost_DataSheet_PY2!$R$2:$R$71)+
SUMPRODUCT(GT_Cost_DataSheet_PY2!$X$2:$X$71, --(GT_Cost_DataSheet_PY2!$Q$2:$Q$71=E44), (F44="MAINT")*GT_Cost_DataSheet_PY2!$S$2:$S$71)+
SUMPRODUCT(GT_Cost_DataSheet_PY2!$X$2:$X$71, --(GT_Cost_DataSheet_PY2!$Q$2:$Q$71=E44), (F44="DEV")*GT_Cost_DataSheet_PY2!$T$2:$T$71)+
SUMPRODUCT(GT_Cost_DataSheet_PY2!$X$2:$X$71, --(GT_Cost_DataSheet_PY2!$Q$2:$Q$71=E44), (F44="COORD")*GT_Cost_DataSheet_PY2!$U$2:$U$71)+
SUMPRODUCT(GT_Cost_DataSheet_PY2!$X$2:$X$71, --(GT_Cost_DataSheet_PY2!$Q$2:$Q$71=E44), (F44="SUP")*GT_Cost_DataSheet_PY2!$V$2:$V$71)</f>
        <v>0</v>
      </c>
      <c r="J44" s="185">
        <f>SUMPRODUCT(GT_Cost_DataSheet_PY2!$AB$2:$AB$71, --(GT_Cost_DataSheet_PY2!$Q$2:$Q$71=E44), (F44="OPS")*GT_Cost_DataSheet_PY2!$R$2:$R$71)+SUMPRODUCT(GT_Cost_DataSheet_PY2!$AB$2:$AB$71, --(GT_Cost_DataSheet_PY2!$Q$2:$Q$71=E44), (F44="MAINT")*GT_Cost_DataSheet_PY2!$S$2:$S$71)+SUMPRODUCT(GT_Cost_DataSheet_PY2!$AB$2:$AB$71, --(GT_Cost_DataSheet_PY2!$Q$2:$Q$71=E44), (F44="DEV")*GT_Cost_DataSheet_PY2!$T$2:$T$71)+SUMPRODUCT(GT_Cost_DataSheet_PY2!$AB$2:$AB$71, --(GT_Cost_DataSheet_PY2!$Q$2:$Q$71=E44), (F44="COORD")*GT_Cost_DataSheet_PY2!$U$2:$U$71)+SUMPRODUCT(GT_Cost_DataSheet_PY2!$AB$2:$AB$71, --(GT_Cost_DataSheet_PY2!$Q$2:$Q$71=E44), (F44="SUP")*GT_Cost_DataSheet_PY2!$V$2:$V$71)</f>
        <v>0</v>
      </c>
    </row>
    <row r="45" spans="1:10" s="111" customFormat="1">
      <c r="A45" s="174">
        <v>2.1</v>
      </c>
      <c r="B45" s="158" t="s">
        <v>324</v>
      </c>
      <c r="C45" s="22" t="s">
        <v>339</v>
      </c>
      <c r="D45" s="22" t="s">
        <v>346</v>
      </c>
      <c r="E45" s="159" t="s">
        <v>432</v>
      </c>
      <c r="F45" s="160" t="s">
        <v>449</v>
      </c>
      <c r="G45" s="160" t="s">
        <v>446</v>
      </c>
      <c r="H45" s="160"/>
      <c r="I45" s="161">
        <f>SUMPRODUCT(GT_Cost_DataSheet_PY2!$X$2:$X$71, --(GT_Cost_DataSheet_PY2!$Q$2:$Q$71=E45), (F45="OPS")*GT_Cost_DataSheet_PY2!$R$2:$R$71)+
SUMPRODUCT(GT_Cost_DataSheet_PY2!$X$2:$X$71, --(GT_Cost_DataSheet_PY2!$Q$2:$Q$71=E45), (F45="MAINT")*GT_Cost_DataSheet_PY2!$S$2:$S$71)+
SUMPRODUCT(GT_Cost_DataSheet_PY2!$X$2:$X$71, --(GT_Cost_DataSheet_PY2!$Q$2:$Q$71=E45), (F45="DEV")*GT_Cost_DataSheet_PY2!$T$2:$T$71)+
SUMPRODUCT(GT_Cost_DataSheet_PY2!$X$2:$X$71, --(GT_Cost_DataSheet_PY2!$Q$2:$Q$71=E45), (F45="COORD")*GT_Cost_DataSheet_PY2!$U$2:$U$71)+
SUMPRODUCT(GT_Cost_DataSheet_PY2!$X$2:$X$71, --(GT_Cost_DataSheet_PY2!$Q$2:$Q$71=E45), (F45="SUP")*GT_Cost_DataSheet_PY2!$V$2:$V$71)</f>
        <v>0</v>
      </c>
      <c r="J45" s="185">
        <f>SUMPRODUCT(GT_Cost_DataSheet_PY2!$AB$2:$AB$71, --(GT_Cost_DataSheet_PY2!$Q$2:$Q$71=E45), (F45="OPS")*GT_Cost_DataSheet_PY2!$R$2:$R$71)+SUMPRODUCT(GT_Cost_DataSheet_PY2!$AB$2:$AB$71, --(GT_Cost_DataSheet_PY2!$Q$2:$Q$71=E45), (F45="MAINT")*GT_Cost_DataSheet_PY2!$S$2:$S$71)+SUMPRODUCT(GT_Cost_DataSheet_PY2!$AB$2:$AB$71, --(GT_Cost_DataSheet_PY2!$Q$2:$Q$71=E45), (F45="DEV")*GT_Cost_DataSheet_PY2!$T$2:$T$71)+SUMPRODUCT(GT_Cost_DataSheet_PY2!$AB$2:$AB$71, --(GT_Cost_DataSheet_PY2!$Q$2:$Q$71=E45), (F45="COORD")*GT_Cost_DataSheet_PY2!$U$2:$U$71)+SUMPRODUCT(GT_Cost_DataSheet_PY2!$AB$2:$AB$71, --(GT_Cost_DataSheet_PY2!$Q$2:$Q$71=E45), (F45="SUP")*GT_Cost_DataSheet_PY2!$V$2:$V$71)</f>
        <v>0</v>
      </c>
    </row>
    <row r="46" spans="1:10" s="111" customFormat="1">
      <c r="A46" s="174">
        <v>2.1</v>
      </c>
      <c r="B46" s="158" t="s">
        <v>324</v>
      </c>
      <c r="C46" s="22" t="s">
        <v>339</v>
      </c>
      <c r="D46" s="22" t="s">
        <v>345</v>
      </c>
      <c r="E46" s="159" t="s">
        <v>431</v>
      </c>
      <c r="F46" s="160" t="s">
        <v>302</v>
      </c>
      <c r="G46" s="160" t="s">
        <v>493</v>
      </c>
      <c r="H46" s="160"/>
      <c r="I46" s="161">
        <f>SUMPRODUCT(GT_Cost_DataSheet_PY2!$X$2:$X$71, --(GT_Cost_DataSheet_PY2!$Q$2:$Q$71=E46), (F46="OPS")*GT_Cost_DataSheet_PY2!$R$2:$R$71)+
SUMPRODUCT(GT_Cost_DataSheet_PY2!$X$2:$X$71, --(GT_Cost_DataSheet_PY2!$Q$2:$Q$71=E46), (F46="MAINT")*GT_Cost_DataSheet_PY2!$S$2:$S$71)+
SUMPRODUCT(GT_Cost_DataSheet_PY2!$X$2:$X$71, --(GT_Cost_DataSheet_PY2!$Q$2:$Q$71=E46), (F46="DEV")*GT_Cost_DataSheet_PY2!$T$2:$T$71)+
SUMPRODUCT(GT_Cost_DataSheet_PY2!$X$2:$X$71, --(GT_Cost_DataSheet_PY2!$Q$2:$Q$71=E46), (F46="COORD")*GT_Cost_DataSheet_PY2!$U$2:$U$71)+
SUMPRODUCT(GT_Cost_DataSheet_PY2!$X$2:$X$71, --(GT_Cost_DataSheet_PY2!$Q$2:$Q$71=E46), (F46="SUP")*GT_Cost_DataSheet_PY2!$V$2:$V$71)</f>
        <v>0</v>
      </c>
      <c r="J46" s="185">
        <f>SUMPRODUCT(GT_Cost_DataSheet_PY2!$AB$2:$AB$71, --(GT_Cost_DataSheet_PY2!$Q$2:$Q$71=E46), (F46="OPS")*GT_Cost_DataSheet_PY2!$R$2:$R$71)+SUMPRODUCT(GT_Cost_DataSheet_PY2!$AB$2:$AB$71, --(GT_Cost_DataSheet_PY2!$Q$2:$Q$71=E46), (F46="MAINT")*GT_Cost_DataSheet_PY2!$S$2:$S$71)+SUMPRODUCT(GT_Cost_DataSheet_PY2!$AB$2:$AB$71, --(GT_Cost_DataSheet_PY2!$Q$2:$Q$71=E46), (F46="DEV")*GT_Cost_DataSheet_PY2!$T$2:$T$71)+SUMPRODUCT(GT_Cost_DataSheet_PY2!$AB$2:$AB$71, --(GT_Cost_DataSheet_PY2!$Q$2:$Q$71=E46), (F46="COORD")*GT_Cost_DataSheet_PY2!$U$2:$U$71)+SUMPRODUCT(GT_Cost_DataSheet_PY2!$AB$2:$AB$71, --(GT_Cost_DataSheet_PY2!$Q$2:$Q$71=E46), (F46="SUP")*GT_Cost_DataSheet_PY2!$V$2:$V$71)</f>
        <v>0</v>
      </c>
    </row>
    <row r="47" spans="1:10" s="111" customFormat="1">
      <c r="A47" s="174">
        <v>2.1</v>
      </c>
      <c r="B47" s="158" t="s">
        <v>324</v>
      </c>
      <c r="C47" s="22" t="s">
        <v>339</v>
      </c>
      <c r="D47" s="22" t="s">
        <v>345</v>
      </c>
      <c r="E47" s="159" t="s">
        <v>431</v>
      </c>
      <c r="F47" s="160" t="s">
        <v>449</v>
      </c>
      <c r="G47" s="160" t="s">
        <v>493</v>
      </c>
      <c r="H47" s="160"/>
      <c r="I47" s="161">
        <f>SUMPRODUCT(GT_Cost_DataSheet_PY2!$X$2:$X$71, --(GT_Cost_DataSheet_PY2!$Q$2:$Q$71=E47), (F47="OPS")*GT_Cost_DataSheet_PY2!$R$2:$R$71)+
SUMPRODUCT(GT_Cost_DataSheet_PY2!$X$2:$X$71, --(GT_Cost_DataSheet_PY2!$Q$2:$Q$71=E47), (F47="MAINT")*GT_Cost_DataSheet_PY2!$S$2:$S$71)+
SUMPRODUCT(GT_Cost_DataSheet_PY2!$X$2:$X$71, --(GT_Cost_DataSheet_PY2!$Q$2:$Q$71=E47), (F47="DEV")*GT_Cost_DataSheet_PY2!$T$2:$T$71)+
SUMPRODUCT(GT_Cost_DataSheet_PY2!$X$2:$X$71, --(GT_Cost_DataSheet_PY2!$Q$2:$Q$71=E47), (F47="COORD")*GT_Cost_DataSheet_PY2!$U$2:$U$71)+
SUMPRODUCT(GT_Cost_DataSheet_PY2!$X$2:$X$71, --(GT_Cost_DataSheet_PY2!$Q$2:$Q$71=E47), (F47="SUP")*GT_Cost_DataSheet_PY2!$V$2:$V$71)</f>
        <v>0</v>
      </c>
      <c r="J47" s="185">
        <f>SUMPRODUCT(GT_Cost_DataSheet_PY2!$AB$2:$AB$71, --(GT_Cost_DataSheet_PY2!$Q$2:$Q$71=E47), (F47="OPS")*GT_Cost_DataSheet_PY2!$R$2:$R$71)+SUMPRODUCT(GT_Cost_DataSheet_PY2!$AB$2:$AB$71, --(GT_Cost_DataSheet_PY2!$Q$2:$Q$71=E47), (F47="MAINT")*GT_Cost_DataSheet_PY2!$S$2:$S$71)+SUMPRODUCT(GT_Cost_DataSheet_PY2!$AB$2:$AB$71, --(GT_Cost_DataSheet_PY2!$Q$2:$Q$71=E47), (F47="DEV")*GT_Cost_DataSheet_PY2!$T$2:$T$71)+SUMPRODUCT(GT_Cost_DataSheet_PY2!$AB$2:$AB$71, --(GT_Cost_DataSheet_PY2!$Q$2:$Q$71=E47), (F47="COORD")*GT_Cost_DataSheet_PY2!$U$2:$U$71)+SUMPRODUCT(GT_Cost_DataSheet_PY2!$AB$2:$AB$71, --(GT_Cost_DataSheet_PY2!$Q$2:$Q$71=E47), (F47="SUP")*GT_Cost_DataSheet_PY2!$V$2:$V$71)</f>
        <v>0</v>
      </c>
    </row>
    <row r="48" spans="1:10" s="111" customFormat="1">
      <c r="A48" s="174">
        <v>2.1</v>
      </c>
      <c r="B48" s="158" t="s">
        <v>324</v>
      </c>
      <c r="C48" s="22" t="s">
        <v>339</v>
      </c>
      <c r="D48" s="22" t="s">
        <v>341</v>
      </c>
      <c r="E48" s="159" t="s">
        <v>430</v>
      </c>
      <c r="F48" s="160" t="s">
        <v>302</v>
      </c>
      <c r="G48" s="160" t="s">
        <v>412</v>
      </c>
      <c r="H48" s="160"/>
      <c r="I48" s="161">
        <f>SUMPRODUCT(GT_Cost_DataSheet_PY2!$X$2:$X$71, --(GT_Cost_DataSheet_PY2!$Q$2:$Q$71=E48), (F48="OPS")*GT_Cost_DataSheet_PY2!$R$2:$R$71)+
SUMPRODUCT(GT_Cost_DataSheet_PY2!$X$2:$X$71, --(GT_Cost_DataSheet_PY2!$Q$2:$Q$71=E48), (F48="MAINT")*GT_Cost_DataSheet_PY2!$S$2:$S$71)+
SUMPRODUCT(GT_Cost_DataSheet_PY2!$X$2:$X$71, --(GT_Cost_DataSheet_PY2!$Q$2:$Q$71=E48), (F48="DEV")*GT_Cost_DataSheet_PY2!$T$2:$T$71)+
SUMPRODUCT(GT_Cost_DataSheet_PY2!$X$2:$X$71, --(GT_Cost_DataSheet_PY2!$Q$2:$Q$71=E48), (F48="COORD")*GT_Cost_DataSheet_PY2!$U$2:$U$71)+
SUMPRODUCT(GT_Cost_DataSheet_PY2!$X$2:$X$71, --(GT_Cost_DataSheet_PY2!$Q$2:$Q$71=E48), (F48="SUP")*GT_Cost_DataSheet_PY2!$V$2:$V$71)</f>
        <v>0</v>
      </c>
      <c r="J48" s="185">
        <f>SUMPRODUCT(GT_Cost_DataSheet_PY2!$AB$2:$AB$71, --(GT_Cost_DataSheet_PY2!$Q$2:$Q$71=E48), (F48="OPS")*GT_Cost_DataSheet_PY2!$R$2:$R$71)+SUMPRODUCT(GT_Cost_DataSheet_PY2!$AB$2:$AB$71, --(GT_Cost_DataSheet_PY2!$Q$2:$Q$71=E48), (F48="MAINT")*GT_Cost_DataSheet_PY2!$S$2:$S$71)+SUMPRODUCT(GT_Cost_DataSheet_PY2!$AB$2:$AB$71, --(GT_Cost_DataSheet_PY2!$Q$2:$Q$71=E48), (F48="DEV")*GT_Cost_DataSheet_PY2!$T$2:$T$71)+SUMPRODUCT(GT_Cost_DataSheet_PY2!$AB$2:$AB$71, --(GT_Cost_DataSheet_PY2!$Q$2:$Q$71=E48), (F48="COORD")*GT_Cost_DataSheet_PY2!$U$2:$U$71)+SUMPRODUCT(GT_Cost_DataSheet_PY2!$AB$2:$AB$71, --(GT_Cost_DataSheet_PY2!$Q$2:$Q$71=E48), (F48="SUP")*GT_Cost_DataSheet_PY2!$V$2:$V$71)</f>
        <v>0</v>
      </c>
    </row>
    <row r="49" spans="1:10" s="111" customFormat="1">
      <c r="A49" s="174">
        <v>2.1</v>
      </c>
      <c r="B49" s="158" t="s">
        <v>324</v>
      </c>
      <c r="C49" s="22" t="s">
        <v>339</v>
      </c>
      <c r="D49" s="22" t="s">
        <v>341</v>
      </c>
      <c r="E49" s="159" t="s">
        <v>430</v>
      </c>
      <c r="F49" s="160" t="s">
        <v>449</v>
      </c>
      <c r="G49" s="160" t="s">
        <v>412</v>
      </c>
      <c r="H49" s="160"/>
      <c r="I49" s="161">
        <f>SUMPRODUCT(GT_Cost_DataSheet_PY2!$X$2:$X$71, --(GT_Cost_DataSheet_PY2!$Q$2:$Q$71=E49), (F49="OPS")*GT_Cost_DataSheet_PY2!$R$2:$R$71)+
SUMPRODUCT(GT_Cost_DataSheet_PY2!$X$2:$X$71, --(GT_Cost_DataSheet_PY2!$Q$2:$Q$71=E49), (F49="MAINT")*GT_Cost_DataSheet_PY2!$S$2:$S$71)+
SUMPRODUCT(GT_Cost_DataSheet_PY2!$X$2:$X$71, --(GT_Cost_DataSheet_PY2!$Q$2:$Q$71=E49), (F49="DEV")*GT_Cost_DataSheet_PY2!$T$2:$T$71)+
SUMPRODUCT(GT_Cost_DataSheet_PY2!$X$2:$X$71, --(GT_Cost_DataSheet_PY2!$Q$2:$Q$71=E49), (F49="COORD")*GT_Cost_DataSheet_PY2!$U$2:$U$71)+
SUMPRODUCT(GT_Cost_DataSheet_PY2!$X$2:$X$71, --(GT_Cost_DataSheet_PY2!$Q$2:$Q$71=E49), (F49="SUP")*GT_Cost_DataSheet_PY2!$V$2:$V$71)</f>
        <v>0</v>
      </c>
      <c r="J49" s="185">
        <f>SUMPRODUCT(GT_Cost_DataSheet_PY2!$AB$2:$AB$71, --(GT_Cost_DataSheet_PY2!$Q$2:$Q$71=E49), (F49="OPS")*GT_Cost_DataSheet_PY2!$R$2:$R$71)+SUMPRODUCT(GT_Cost_DataSheet_PY2!$AB$2:$AB$71, --(GT_Cost_DataSheet_PY2!$Q$2:$Q$71=E49), (F49="MAINT")*GT_Cost_DataSheet_PY2!$S$2:$S$71)+SUMPRODUCT(GT_Cost_DataSheet_PY2!$AB$2:$AB$71, --(GT_Cost_DataSheet_PY2!$Q$2:$Q$71=E49), (F49="DEV")*GT_Cost_DataSheet_PY2!$T$2:$T$71)+SUMPRODUCT(GT_Cost_DataSheet_PY2!$AB$2:$AB$71, --(GT_Cost_DataSheet_PY2!$Q$2:$Q$71=E49), (F49="COORD")*GT_Cost_DataSheet_PY2!$U$2:$U$71)+SUMPRODUCT(GT_Cost_DataSheet_PY2!$AB$2:$AB$71, --(GT_Cost_DataSheet_PY2!$Q$2:$Q$71=E49), (F49="SUP")*GT_Cost_DataSheet_PY2!$V$2:$V$71)</f>
        <v>0</v>
      </c>
    </row>
    <row r="50" spans="1:10" s="111" customFormat="1">
      <c r="A50" s="174">
        <v>2.1</v>
      </c>
      <c r="B50" s="117" t="s">
        <v>324</v>
      </c>
      <c r="C50" s="111" t="s">
        <v>339</v>
      </c>
      <c r="D50" s="111" t="s">
        <v>340</v>
      </c>
      <c r="E50" s="119" t="s">
        <v>367</v>
      </c>
      <c r="F50" s="121" t="s">
        <v>302</v>
      </c>
      <c r="G50" s="121" t="s">
        <v>412</v>
      </c>
      <c r="H50" s="121"/>
      <c r="I50" s="123">
        <f>SUMPRODUCT(GT_Cost_DataSheet_PY2!$X$2:$X$71, --(GT_Cost_DataSheet_PY2!$Q$2:$Q$71=E50), (F50="OPS")*GT_Cost_DataSheet_PY2!$R$2:$R$71)+
SUMPRODUCT(GT_Cost_DataSheet_PY2!$X$2:$X$71, --(GT_Cost_DataSheet_PY2!$Q$2:$Q$71=E50), (F50="MAINT")*GT_Cost_DataSheet_PY2!$S$2:$S$71)+
SUMPRODUCT(GT_Cost_DataSheet_PY2!$X$2:$X$71, --(GT_Cost_DataSheet_PY2!$Q$2:$Q$71=E50), (F50="DEV")*GT_Cost_DataSheet_PY2!$T$2:$T$71)+
SUMPRODUCT(GT_Cost_DataSheet_PY2!$X$2:$X$71, --(GT_Cost_DataSheet_PY2!$Q$2:$Q$71=E50), (F50="COORD")*GT_Cost_DataSheet_PY2!$U$2:$U$71)+
SUMPRODUCT(GT_Cost_DataSheet_PY2!$X$2:$X$71, --(GT_Cost_DataSheet_PY2!$Q$2:$Q$71=E50), (F50="SUP")*GT_Cost_DataSheet_PY2!$V$2:$V$71)</f>
        <v>3.2730582524271887</v>
      </c>
      <c r="J50" s="184">
        <f>SUMPRODUCT(GT_Cost_DataSheet_PY2!$AB$2:$AB$71, --(GT_Cost_DataSheet_PY2!$Q$2:$Q$71=E50), (F50="OPS")*GT_Cost_DataSheet_PY2!$R$2:$R$71)+SUMPRODUCT(GT_Cost_DataSheet_PY2!$AB$2:$AB$71, --(GT_Cost_DataSheet_PY2!$Q$2:$Q$71=E50), (F50="MAINT")*GT_Cost_DataSheet_PY2!$S$2:$S$71)+SUMPRODUCT(GT_Cost_DataSheet_PY2!$AB$2:$AB$71, --(GT_Cost_DataSheet_PY2!$Q$2:$Q$71=E50), (F50="DEV")*GT_Cost_DataSheet_PY2!$T$2:$T$71)+SUMPRODUCT(GT_Cost_DataSheet_PY2!$AB$2:$AB$71, --(GT_Cost_DataSheet_PY2!$Q$2:$Q$71=E50), (F50="COORD")*GT_Cost_DataSheet_PY2!$U$2:$U$71)+SUMPRODUCT(GT_Cost_DataSheet_PY2!$AB$2:$AB$71, --(GT_Cost_DataSheet_PY2!$Q$2:$Q$71=E50), (F50="SUP")*GT_Cost_DataSheet_PY2!$V$2:$V$71)</f>
        <v>28640.392500000002</v>
      </c>
    </row>
    <row r="51" spans="1:10" s="111" customFormat="1">
      <c r="A51" s="174">
        <v>2.1</v>
      </c>
      <c r="B51" s="117" t="s">
        <v>324</v>
      </c>
      <c r="C51" s="111" t="s">
        <v>339</v>
      </c>
      <c r="D51" s="111" t="s">
        <v>342</v>
      </c>
      <c r="E51" s="119" t="s">
        <v>388</v>
      </c>
      <c r="F51" s="121" t="s">
        <v>302</v>
      </c>
      <c r="G51" s="121" t="s">
        <v>412</v>
      </c>
      <c r="H51" s="121"/>
      <c r="I51" s="123">
        <f>SUMPRODUCT(GT_Cost_DataSheet_PY2!$X$2:$X$71, --(GT_Cost_DataSheet_PY2!$Q$2:$Q$71=E51), (F51="OPS")*GT_Cost_DataSheet_PY2!$R$2:$R$71)+
SUMPRODUCT(GT_Cost_DataSheet_PY2!$X$2:$X$71, --(GT_Cost_DataSheet_PY2!$Q$2:$Q$71=E51), (F51="MAINT")*GT_Cost_DataSheet_PY2!$S$2:$S$71)+
SUMPRODUCT(GT_Cost_DataSheet_PY2!$X$2:$X$71, --(GT_Cost_DataSheet_PY2!$Q$2:$Q$71=E51), (F51="DEV")*GT_Cost_DataSheet_PY2!$T$2:$T$71)+
SUMPRODUCT(GT_Cost_DataSheet_PY2!$X$2:$X$71, --(GT_Cost_DataSheet_PY2!$Q$2:$Q$71=E51), (F51="COORD")*GT_Cost_DataSheet_PY2!$U$2:$U$71)+
SUMPRODUCT(GT_Cost_DataSheet_PY2!$X$2:$X$71, --(GT_Cost_DataSheet_PY2!$Q$2:$Q$71=E51), (F51="SUP")*GT_Cost_DataSheet_PY2!$V$2:$V$71)</f>
        <v>3.7242834026814617</v>
      </c>
      <c r="J51" s="184">
        <f>SUMPRODUCT(GT_Cost_DataSheet_PY2!$AB$2:$AB$71, --(GT_Cost_DataSheet_PY2!$Q$2:$Q$71=E51), (F51="OPS")*GT_Cost_DataSheet_PY2!$R$2:$R$71)+SUMPRODUCT(GT_Cost_DataSheet_PY2!$AB$2:$AB$71, --(GT_Cost_DataSheet_PY2!$Q$2:$Q$71=E51), (F51="MAINT")*GT_Cost_DataSheet_PY2!$S$2:$S$71)+SUMPRODUCT(GT_Cost_DataSheet_PY2!$AB$2:$AB$71, --(GT_Cost_DataSheet_PY2!$Q$2:$Q$71=E51), (F51="DEV")*GT_Cost_DataSheet_PY2!$T$2:$T$71)+SUMPRODUCT(GT_Cost_DataSheet_PY2!$AB$2:$AB$71, --(GT_Cost_DataSheet_PY2!$Q$2:$Q$71=E51), (F51="COORD")*GT_Cost_DataSheet_PY2!$U$2:$U$71)+SUMPRODUCT(GT_Cost_DataSheet_PY2!$AB$2:$AB$71, --(GT_Cost_DataSheet_PY2!$Q$2:$Q$71=E51), (F51="SUP")*GT_Cost_DataSheet_PY2!$V$2:$V$71)</f>
        <v>27475.038124999999</v>
      </c>
    </row>
    <row r="52" spans="1:10" s="111" customFormat="1">
      <c r="A52" s="174">
        <v>2.1</v>
      </c>
      <c r="B52" s="117" t="s">
        <v>324</v>
      </c>
      <c r="C52" s="111" t="s">
        <v>339</v>
      </c>
      <c r="D52" s="111" t="s">
        <v>343</v>
      </c>
      <c r="E52" s="119" t="s">
        <v>389</v>
      </c>
      <c r="F52" s="121" t="s">
        <v>302</v>
      </c>
      <c r="G52" s="121" t="s">
        <v>412</v>
      </c>
      <c r="H52" s="121"/>
      <c r="I52" s="123">
        <f>SUMPRODUCT(GT_Cost_DataSheet_PY2!$X$2:$X$71, --(GT_Cost_DataSheet_PY2!$Q$2:$Q$71=E52), (F52="OPS")*GT_Cost_DataSheet_PY2!$R$2:$R$71)+
SUMPRODUCT(GT_Cost_DataSheet_PY2!$X$2:$X$71, --(GT_Cost_DataSheet_PY2!$Q$2:$Q$71=E52), (F52="MAINT")*GT_Cost_DataSheet_PY2!$S$2:$S$71)+
SUMPRODUCT(GT_Cost_DataSheet_PY2!$X$2:$X$71, --(GT_Cost_DataSheet_PY2!$Q$2:$Q$71=E52), (F52="DEV")*GT_Cost_DataSheet_PY2!$T$2:$T$71)+
SUMPRODUCT(GT_Cost_DataSheet_PY2!$X$2:$X$71, --(GT_Cost_DataSheet_PY2!$Q$2:$Q$71=E52), (F52="COORD")*GT_Cost_DataSheet_PY2!$U$2:$U$71)+
SUMPRODUCT(GT_Cost_DataSheet_PY2!$X$2:$X$71, --(GT_Cost_DataSheet_PY2!$Q$2:$Q$71=E52), (F52="SUP")*GT_Cost_DataSheet_PY2!$V$2:$V$71)</f>
        <v>9.1859788359788368</v>
      </c>
      <c r="J52" s="184">
        <f>SUMPRODUCT(GT_Cost_DataSheet_PY2!$AB$2:$AB$71, --(GT_Cost_DataSheet_PY2!$Q$2:$Q$71=E52), (F52="OPS")*GT_Cost_DataSheet_PY2!$R$2:$R$71)+SUMPRODUCT(GT_Cost_DataSheet_PY2!$AB$2:$AB$71, --(GT_Cost_DataSheet_PY2!$Q$2:$Q$71=E52), (F52="MAINT")*GT_Cost_DataSheet_PY2!$S$2:$S$71)+SUMPRODUCT(GT_Cost_DataSheet_PY2!$AB$2:$AB$71, --(GT_Cost_DataSheet_PY2!$Q$2:$Q$71=E52), (F52="DEV")*GT_Cost_DataSheet_PY2!$T$2:$T$71)+SUMPRODUCT(GT_Cost_DataSheet_PY2!$AB$2:$AB$71, --(GT_Cost_DataSheet_PY2!$Q$2:$Q$71=E52), (F52="COORD")*GT_Cost_DataSheet_PY2!$U$2:$U$71)+SUMPRODUCT(GT_Cost_DataSheet_PY2!$AB$2:$AB$71, --(GT_Cost_DataSheet_PY2!$Q$2:$Q$71=E52), (F52="SUP")*GT_Cost_DataSheet_PY2!$V$2:$V$71)</f>
        <v>70080.230106329996</v>
      </c>
    </row>
    <row r="53" spans="1:10" s="111" customFormat="1">
      <c r="A53" s="174">
        <v>2.1</v>
      </c>
      <c r="B53" s="117" t="s">
        <v>324</v>
      </c>
      <c r="C53" s="111" t="s">
        <v>339</v>
      </c>
      <c r="D53" s="111" t="s">
        <v>340</v>
      </c>
      <c r="E53" s="119" t="s">
        <v>367</v>
      </c>
      <c r="F53" s="121" t="s">
        <v>449</v>
      </c>
      <c r="G53" s="121" t="s">
        <v>412</v>
      </c>
      <c r="H53" s="121"/>
      <c r="I53" s="123">
        <f>SUMPRODUCT(GT_Cost_DataSheet_PY2!$X$2:$X$71, --(GT_Cost_DataSheet_PY2!$Q$2:$Q$71=E53), (F53="OPS")*GT_Cost_DataSheet_PY2!$R$2:$R$71)+
SUMPRODUCT(GT_Cost_DataSheet_PY2!$X$2:$X$71, --(GT_Cost_DataSheet_PY2!$Q$2:$Q$71=E53), (F53="MAINT")*GT_Cost_DataSheet_PY2!$S$2:$S$71)+
SUMPRODUCT(GT_Cost_DataSheet_PY2!$X$2:$X$71, --(GT_Cost_DataSheet_PY2!$Q$2:$Q$71=E53), (F53="DEV")*GT_Cost_DataSheet_PY2!$T$2:$T$71)+
SUMPRODUCT(GT_Cost_DataSheet_PY2!$X$2:$X$71, --(GT_Cost_DataSheet_PY2!$Q$2:$Q$71=E53), (F53="COORD")*GT_Cost_DataSheet_PY2!$U$2:$U$71)+
SUMPRODUCT(GT_Cost_DataSheet_PY2!$X$2:$X$71, --(GT_Cost_DataSheet_PY2!$Q$2:$Q$71=E53), (F53="SUP")*GT_Cost_DataSheet_PY2!$V$2:$V$71)</f>
        <v>9.8191747572815657</v>
      </c>
      <c r="J53" s="184">
        <f>SUMPRODUCT(GT_Cost_DataSheet_PY2!$AB$2:$AB$71, --(GT_Cost_DataSheet_PY2!$Q$2:$Q$71=E53), (F53="OPS")*GT_Cost_DataSheet_PY2!$R$2:$R$71)+SUMPRODUCT(GT_Cost_DataSheet_PY2!$AB$2:$AB$71, --(GT_Cost_DataSheet_PY2!$Q$2:$Q$71=E53), (F53="MAINT")*GT_Cost_DataSheet_PY2!$S$2:$S$71)+SUMPRODUCT(GT_Cost_DataSheet_PY2!$AB$2:$AB$71, --(GT_Cost_DataSheet_PY2!$Q$2:$Q$71=E53), (F53="DEV")*GT_Cost_DataSheet_PY2!$T$2:$T$71)+SUMPRODUCT(GT_Cost_DataSheet_PY2!$AB$2:$AB$71, --(GT_Cost_DataSheet_PY2!$Q$2:$Q$71=E53), (F53="COORD")*GT_Cost_DataSheet_PY2!$U$2:$U$71)+SUMPRODUCT(GT_Cost_DataSheet_PY2!$AB$2:$AB$71, --(GT_Cost_DataSheet_PY2!$Q$2:$Q$71=E53), (F53="SUP")*GT_Cost_DataSheet_PY2!$V$2:$V$71)</f>
        <v>85921.177500000005</v>
      </c>
    </row>
    <row r="54" spans="1:10" s="111" customFormat="1">
      <c r="A54" s="174">
        <v>2.1</v>
      </c>
      <c r="B54" s="117" t="s">
        <v>324</v>
      </c>
      <c r="C54" s="111" t="s">
        <v>339</v>
      </c>
      <c r="D54" s="111" t="s">
        <v>342</v>
      </c>
      <c r="E54" s="119" t="s">
        <v>388</v>
      </c>
      <c r="F54" s="121" t="s">
        <v>449</v>
      </c>
      <c r="G54" s="121" t="s">
        <v>412</v>
      </c>
      <c r="H54" s="121"/>
      <c r="I54" s="123">
        <f>SUMPRODUCT(GT_Cost_DataSheet_PY2!$X$2:$X$71, --(GT_Cost_DataSheet_PY2!$Q$2:$Q$71=E54), (F54="OPS")*GT_Cost_DataSheet_PY2!$R$2:$R$71)+
SUMPRODUCT(GT_Cost_DataSheet_PY2!$X$2:$X$71, --(GT_Cost_DataSheet_PY2!$Q$2:$Q$71=E54), (F54="MAINT")*GT_Cost_DataSheet_PY2!$S$2:$S$71)+
SUMPRODUCT(GT_Cost_DataSheet_PY2!$X$2:$X$71, --(GT_Cost_DataSheet_PY2!$Q$2:$Q$71=E54), (F54="DEV")*GT_Cost_DataSheet_PY2!$T$2:$T$71)+
SUMPRODUCT(GT_Cost_DataSheet_PY2!$X$2:$X$71, --(GT_Cost_DataSheet_PY2!$Q$2:$Q$71=E54), (F54="COORD")*GT_Cost_DataSheet_PY2!$U$2:$U$71)+
SUMPRODUCT(GT_Cost_DataSheet_PY2!$X$2:$X$71, --(GT_Cost_DataSheet_PY2!$Q$2:$Q$71=E54), (F54="SUP")*GT_Cost_DataSheet_PY2!$V$2:$V$71)</f>
        <v>11.172850208044384</v>
      </c>
      <c r="J54" s="184">
        <f>SUMPRODUCT(GT_Cost_DataSheet_PY2!$AB$2:$AB$71, --(GT_Cost_DataSheet_PY2!$Q$2:$Q$71=E54), (F54="OPS")*GT_Cost_DataSheet_PY2!$R$2:$R$71)+SUMPRODUCT(GT_Cost_DataSheet_PY2!$AB$2:$AB$71, --(GT_Cost_DataSheet_PY2!$Q$2:$Q$71=E54), (F54="MAINT")*GT_Cost_DataSheet_PY2!$S$2:$S$71)+SUMPRODUCT(GT_Cost_DataSheet_PY2!$AB$2:$AB$71, --(GT_Cost_DataSheet_PY2!$Q$2:$Q$71=E54), (F54="DEV")*GT_Cost_DataSheet_PY2!$T$2:$T$71)+SUMPRODUCT(GT_Cost_DataSheet_PY2!$AB$2:$AB$71, --(GT_Cost_DataSheet_PY2!$Q$2:$Q$71=E54), (F54="COORD")*GT_Cost_DataSheet_PY2!$U$2:$U$71)+SUMPRODUCT(GT_Cost_DataSheet_PY2!$AB$2:$AB$71, --(GT_Cost_DataSheet_PY2!$Q$2:$Q$71=E54), (F54="SUP")*GT_Cost_DataSheet_PY2!$V$2:$V$71)</f>
        <v>82425.114375000005</v>
      </c>
    </row>
    <row r="55" spans="1:10" s="111" customFormat="1">
      <c r="A55" s="174">
        <v>2.1</v>
      </c>
      <c r="B55" s="117" t="s">
        <v>324</v>
      </c>
      <c r="C55" s="111" t="s">
        <v>339</v>
      </c>
      <c r="D55" s="111" t="s">
        <v>343</v>
      </c>
      <c r="E55" s="119" t="s">
        <v>389</v>
      </c>
      <c r="F55" s="121" t="s">
        <v>449</v>
      </c>
      <c r="G55" s="121" t="s">
        <v>412</v>
      </c>
      <c r="H55" s="121"/>
      <c r="I55" s="123">
        <f>SUMPRODUCT(GT_Cost_DataSheet_PY2!$X$2:$X$71, --(GT_Cost_DataSheet_PY2!$Q$2:$Q$71=E55), (F55="OPS")*GT_Cost_DataSheet_PY2!$R$2:$R$71)+
SUMPRODUCT(GT_Cost_DataSheet_PY2!$X$2:$X$71, --(GT_Cost_DataSheet_PY2!$Q$2:$Q$71=E55), (F55="MAINT")*GT_Cost_DataSheet_PY2!$S$2:$S$71)+
SUMPRODUCT(GT_Cost_DataSheet_PY2!$X$2:$X$71, --(GT_Cost_DataSheet_PY2!$Q$2:$Q$71=E55), (F55="DEV")*GT_Cost_DataSheet_PY2!$T$2:$T$71)+
SUMPRODUCT(GT_Cost_DataSheet_PY2!$X$2:$X$71, --(GT_Cost_DataSheet_PY2!$Q$2:$Q$71=E55), (F55="COORD")*GT_Cost_DataSheet_PY2!$U$2:$U$71)+
SUMPRODUCT(GT_Cost_DataSheet_PY2!$X$2:$X$71, --(GT_Cost_DataSheet_PY2!$Q$2:$Q$71=E55), (F55="SUP")*GT_Cost_DataSheet_PY2!$V$2:$V$71)</f>
        <v>27.55793650793651</v>
      </c>
      <c r="J55" s="184">
        <f>SUMPRODUCT(GT_Cost_DataSheet_PY2!$AB$2:$AB$71, --(GT_Cost_DataSheet_PY2!$Q$2:$Q$71=E55), (F55="OPS")*GT_Cost_DataSheet_PY2!$R$2:$R$71)+SUMPRODUCT(GT_Cost_DataSheet_PY2!$AB$2:$AB$71, --(GT_Cost_DataSheet_PY2!$Q$2:$Q$71=E55), (F55="MAINT")*GT_Cost_DataSheet_PY2!$S$2:$S$71)+SUMPRODUCT(GT_Cost_DataSheet_PY2!$AB$2:$AB$71, --(GT_Cost_DataSheet_PY2!$Q$2:$Q$71=E55), (F55="DEV")*GT_Cost_DataSheet_PY2!$T$2:$T$71)+SUMPRODUCT(GT_Cost_DataSheet_PY2!$AB$2:$AB$71, --(GT_Cost_DataSheet_PY2!$Q$2:$Q$71=E55), (F55="COORD")*GT_Cost_DataSheet_PY2!$U$2:$U$71)+SUMPRODUCT(GT_Cost_DataSheet_PY2!$AB$2:$AB$71, --(GT_Cost_DataSheet_PY2!$Q$2:$Q$71=E55), (F55="SUP")*GT_Cost_DataSheet_PY2!$V$2:$V$71)</f>
        <v>210240.69031899</v>
      </c>
    </row>
    <row r="56" spans="1:10" s="177" customFormat="1" ht="15.75" customHeight="1">
      <c r="A56" s="176">
        <v>2.2000000000000002</v>
      </c>
      <c r="B56" s="117" t="s">
        <v>324</v>
      </c>
      <c r="C56" s="117" t="s">
        <v>327</v>
      </c>
      <c r="D56" s="177" t="s">
        <v>328</v>
      </c>
      <c r="E56" s="178" t="s">
        <v>373</v>
      </c>
      <c r="F56" s="121" t="s">
        <v>302</v>
      </c>
      <c r="G56" s="179" t="s">
        <v>493</v>
      </c>
      <c r="H56" s="179"/>
      <c r="I56" s="180">
        <f>SUMPRODUCT(GT_Cost_DataSheet_PY2!$X$2:$X$71, --(GT_Cost_DataSheet_PY2!$Q$2:$Q$71=E56), (F56="OPS")*GT_Cost_DataSheet_PY2!$R$2:$R$71)+
SUMPRODUCT(GT_Cost_DataSheet_PY2!$X$2:$X$71, --(GT_Cost_DataSheet_PY2!$Q$2:$Q$71=E56), (F56="MAINT")*GT_Cost_DataSheet_PY2!$S$2:$S$71)+
SUMPRODUCT(GT_Cost_DataSheet_PY2!$X$2:$X$71, --(GT_Cost_DataSheet_PY2!$Q$2:$Q$71=E56), (F56="DEV")*GT_Cost_DataSheet_PY2!$T$2:$T$71)+
SUMPRODUCT(GT_Cost_DataSheet_PY2!$X$2:$X$71, --(GT_Cost_DataSheet_PY2!$Q$2:$Q$71=E56), (F56="COORD")*GT_Cost_DataSheet_PY2!$U$2:$U$71)+
SUMPRODUCT(GT_Cost_DataSheet_PY2!$X$2:$X$71, --(GT_Cost_DataSheet_PY2!$Q$2:$Q$71=E56), (F56="SUP")*GT_Cost_DataSheet_PY2!$V$2:$V$71)</f>
        <v>10.89</v>
      </c>
      <c r="J56" s="186">
        <f>SUMPRODUCT(GT_Cost_DataSheet_PY2!$AB$2:$AB$71, --(GT_Cost_DataSheet_PY2!$Q$2:$Q$71=E56), (F56="OPS")*GT_Cost_DataSheet_PY2!$R$2:$R$71)+SUMPRODUCT(GT_Cost_DataSheet_PY2!$AB$2:$AB$71, --(GT_Cost_DataSheet_PY2!$Q$2:$Q$71=E56), (F56="MAINT")*GT_Cost_DataSheet_PY2!$S$2:$S$71)+SUMPRODUCT(GT_Cost_DataSheet_PY2!$AB$2:$AB$71, --(GT_Cost_DataSheet_PY2!$Q$2:$Q$71=E56), (F56="DEV")*GT_Cost_DataSheet_PY2!$T$2:$T$71)+SUMPRODUCT(GT_Cost_DataSheet_PY2!$AB$2:$AB$71, --(GT_Cost_DataSheet_PY2!$Q$2:$Q$71=E56), (F56="COORD")*GT_Cost_DataSheet_PY2!$U$2:$U$71)+SUMPRODUCT(GT_Cost_DataSheet_PY2!$AB$2:$AB$71, --(GT_Cost_DataSheet_PY2!$Q$2:$Q$71=E56), (F56="SUP")*GT_Cost_DataSheet_PY2!$V$2:$V$71)</f>
        <v>75906.237622723973</v>
      </c>
    </row>
    <row r="57" spans="1:10" s="177" customFormat="1" ht="15" customHeight="1">
      <c r="A57" s="176">
        <v>2.2000000000000002</v>
      </c>
      <c r="B57" s="117" t="s">
        <v>324</v>
      </c>
      <c r="C57" s="117" t="s">
        <v>327</v>
      </c>
      <c r="D57" s="177" t="s">
        <v>328</v>
      </c>
      <c r="E57" s="178" t="s">
        <v>373</v>
      </c>
      <c r="F57" s="179" t="s">
        <v>449</v>
      </c>
      <c r="G57" s="179" t="s">
        <v>493</v>
      </c>
      <c r="H57" s="179"/>
      <c r="I57" s="180">
        <f>SUMPRODUCT(GT_Cost_DataSheet_PY2!$X$2:$X$71, --(GT_Cost_DataSheet_PY2!$Q$2:$Q$71=E57), (F57="OPS")*GT_Cost_DataSheet_PY2!$R$2:$R$71)+
SUMPRODUCT(GT_Cost_DataSheet_PY2!$X$2:$X$71, --(GT_Cost_DataSheet_PY2!$Q$2:$Q$71=E57), (F57="MAINT")*GT_Cost_DataSheet_PY2!$S$2:$S$71)+
SUMPRODUCT(GT_Cost_DataSheet_PY2!$X$2:$X$71, --(GT_Cost_DataSheet_PY2!$Q$2:$Q$71=E57), (F57="DEV")*GT_Cost_DataSheet_PY2!$T$2:$T$71)+
SUMPRODUCT(GT_Cost_DataSheet_PY2!$X$2:$X$71, --(GT_Cost_DataSheet_PY2!$Q$2:$Q$71=E57), (F57="COORD")*GT_Cost_DataSheet_PY2!$U$2:$U$71)+
SUMPRODUCT(GT_Cost_DataSheet_PY2!$X$2:$X$71, --(GT_Cost_DataSheet_PY2!$Q$2:$Q$71=E57), (F57="SUP")*GT_Cost_DataSheet_PY2!$V$2:$V$71)</f>
        <v>32.67</v>
      </c>
      <c r="J57" s="186">
        <f>SUMPRODUCT(GT_Cost_DataSheet_PY2!$AB$2:$AB$71, --(GT_Cost_DataSheet_PY2!$Q$2:$Q$71=E57), (F57="OPS")*GT_Cost_DataSheet_PY2!$R$2:$R$71)+SUMPRODUCT(GT_Cost_DataSheet_PY2!$AB$2:$AB$71, --(GT_Cost_DataSheet_PY2!$Q$2:$Q$71=E57), (F57="MAINT")*GT_Cost_DataSheet_PY2!$S$2:$S$71)+SUMPRODUCT(GT_Cost_DataSheet_PY2!$AB$2:$AB$71, --(GT_Cost_DataSheet_PY2!$Q$2:$Q$71=E57), (F57="DEV")*GT_Cost_DataSheet_PY2!$T$2:$T$71)+SUMPRODUCT(GT_Cost_DataSheet_PY2!$AB$2:$AB$71, --(GT_Cost_DataSheet_PY2!$Q$2:$Q$71=E57), (F57="COORD")*GT_Cost_DataSheet_PY2!$U$2:$U$71)+SUMPRODUCT(GT_Cost_DataSheet_PY2!$AB$2:$AB$71, --(GT_Cost_DataSheet_PY2!$Q$2:$Q$71=E57), (F57="SUP")*GT_Cost_DataSheet_PY2!$V$2:$V$71)</f>
        <v>227718.71286817192</v>
      </c>
    </row>
    <row r="58" spans="1:10" s="111" customFormat="1">
      <c r="A58" s="174">
        <v>2.2999999999999998</v>
      </c>
      <c r="B58" s="158" t="s">
        <v>324</v>
      </c>
      <c r="C58" s="158" t="s">
        <v>329</v>
      </c>
      <c r="D58" s="22" t="s">
        <v>331</v>
      </c>
      <c r="E58" s="159" t="s">
        <v>423</v>
      </c>
      <c r="F58" s="196" t="s">
        <v>302</v>
      </c>
      <c r="G58" s="160" t="s">
        <v>493</v>
      </c>
      <c r="H58" s="160"/>
      <c r="I58" s="161">
        <f>SUMPRODUCT(GT_Cost_DataSheet_PY2!$X$2:$X$71, --(GT_Cost_DataSheet_PY2!$Q$2:$Q$71=E58), (F58="OPS")*GT_Cost_DataSheet_PY2!$R$2:$R$71)+
SUMPRODUCT(GT_Cost_DataSheet_PY2!$X$2:$X$71, --(GT_Cost_DataSheet_PY2!$Q$2:$Q$71=E58), (F58="MAINT")*GT_Cost_DataSheet_PY2!$S$2:$S$71)+
SUMPRODUCT(GT_Cost_DataSheet_PY2!$X$2:$X$71, --(GT_Cost_DataSheet_PY2!$Q$2:$Q$71=E58), (F58="DEV")*GT_Cost_DataSheet_PY2!$T$2:$T$71)+
SUMPRODUCT(GT_Cost_DataSheet_PY2!$X$2:$X$71, --(GT_Cost_DataSheet_PY2!$Q$2:$Q$71=E58), (F58="COORD")*GT_Cost_DataSheet_PY2!$U$2:$U$71)+
SUMPRODUCT(GT_Cost_DataSheet_PY2!$X$2:$X$71, --(GT_Cost_DataSheet_PY2!$Q$2:$Q$71=E58), (F58="SUP")*GT_Cost_DataSheet_PY2!$V$2:$V$71)</f>
        <v>0</v>
      </c>
      <c r="J58" s="185">
        <f>SUMPRODUCT(GT_Cost_DataSheet_PY2!$AB$2:$AB$71, --(GT_Cost_DataSheet_PY2!$Q$2:$Q$71=E58), (F58="OPS")*GT_Cost_DataSheet_PY2!$R$2:$R$71)+SUMPRODUCT(GT_Cost_DataSheet_PY2!$AB$2:$AB$71, --(GT_Cost_DataSheet_PY2!$Q$2:$Q$71=E58), (F58="MAINT")*GT_Cost_DataSheet_PY2!$S$2:$S$71)+SUMPRODUCT(GT_Cost_DataSheet_PY2!$AB$2:$AB$71, --(GT_Cost_DataSheet_PY2!$Q$2:$Q$71=E58), (F58="DEV")*GT_Cost_DataSheet_PY2!$T$2:$T$71)+SUMPRODUCT(GT_Cost_DataSheet_PY2!$AB$2:$AB$71, --(GT_Cost_DataSheet_PY2!$Q$2:$Q$71=E58), (F58="COORD")*GT_Cost_DataSheet_PY2!$U$2:$U$71)+SUMPRODUCT(GT_Cost_DataSheet_PY2!$AB$2:$AB$71, --(GT_Cost_DataSheet_PY2!$Q$2:$Q$71=E58), (F58="SUP")*GT_Cost_DataSheet_PY2!$V$2:$V$71)</f>
        <v>0</v>
      </c>
    </row>
    <row r="59" spans="1:10" s="111" customFormat="1">
      <c r="A59" s="174">
        <v>2.2999999999999998</v>
      </c>
      <c r="B59" s="158" t="s">
        <v>324</v>
      </c>
      <c r="C59" s="158" t="s">
        <v>329</v>
      </c>
      <c r="D59" s="22" t="s">
        <v>331</v>
      </c>
      <c r="E59" s="159" t="s">
        <v>423</v>
      </c>
      <c r="F59" s="160" t="s">
        <v>449</v>
      </c>
      <c r="G59" s="160" t="s">
        <v>496</v>
      </c>
      <c r="H59" s="160"/>
      <c r="I59" s="161">
        <f>SUMPRODUCT(GT_Cost_DataSheet_PY2!$X$2:$X$71, --(GT_Cost_DataSheet_PY2!$Q$2:$Q$71=E59), (F59="OPS")*GT_Cost_DataSheet_PY2!$R$2:$R$71)+
SUMPRODUCT(GT_Cost_DataSheet_PY2!$X$2:$X$71, --(GT_Cost_DataSheet_PY2!$Q$2:$Q$71=E59), (F59="MAINT")*GT_Cost_DataSheet_PY2!$S$2:$S$71)+
SUMPRODUCT(GT_Cost_DataSheet_PY2!$X$2:$X$71, --(GT_Cost_DataSheet_PY2!$Q$2:$Q$71=E59), (F59="DEV")*GT_Cost_DataSheet_PY2!$T$2:$T$71)+
SUMPRODUCT(GT_Cost_DataSheet_PY2!$X$2:$X$71, --(GT_Cost_DataSheet_PY2!$Q$2:$Q$71=E59), (F59="COORD")*GT_Cost_DataSheet_PY2!$U$2:$U$71)+
SUMPRODUCT(GT_Cost_DataSheet_PY2!$X$2:$X$71, --(GT_Cost_DataSheet_PY2!$Q$2:$Q$71=E59), (F59="SUP")*GT_Cost_DataSheet_PY2!$V$2:$V$71)</f>
        <v>0</v>
      </c>
      <c r="J59" s="185">
        <f>SUMPRODUCT(GT_Cost_DataSheet_PY2!$AB$2:$AB$71, --(GT_Cost_DataSheet_PY2!$Q$2:$Q$71=E59), (F59="OPS")*GT_Cost_DataSheet_PY2!$R$2:$R$71)+SUMPRODUCT(GT_Cost_DataSheet_PY2!$AB$2:$AB$71, --(GT_Cost_DataSheet_PY2!$Q$2:$Q$71=E59), (F59="MAINT")*GT_Cost_DataSheet_PY2!$S$2:$S$71)+SUMPRODUCT(GT_Cost_DataSheet_PY2!$AB$2:$AB$71, --(GT_Cost_DataSheet_PY2!$Q$2:$Q$71=E59), (F59="DEV")*GT_Cost_DataSheet_PY2!$T$2:$T$71)+SUMPRODUCT(GT_Cost_DataSheet_PY2!$AB$2:$AB$71, --(GT_Cost_DataSheet_PY2!$Q$2:$Q$71=E59), (F59="COORD")*GT_Cost_DataSheet_PY2!$U$2:$U$71)+SUMPRODUCT(GT_Cost_DataSheet_PY2!$AB$2:$AB$71, --(GT_Cost_DataSheet_PY2!$Q$2:$Q$71=E59), (F59="SUP")*GT_Cost_DataSheet_PY2!$V$2:$V$71)</f>
        <v>0</v>
      </c>
    </row>
    <row r="60" spans="1:10" s="111" customFormat="1">
      <c r="A60" s="174">
        <v>2.2999999999999998</v>
      </c>
      <c r="B60" s="158" t="s">
        <v>324</v>
      </c>
      <c r="C60" s="158" t="s">
        <v>329</v>
      </c>
      <c r="D60" s="22" t="s">
        <v>330</v>
      </c>
      <c r="E60" s="159" t="s">
        <v>422</v>
      </c>
      <c r="F60" s="160" t="s">
        <v>302</v>
      </c>
      <c r="G60" s="160" t="s">
        <v>493</v>
      </c>
      <c r="H60" s="160"/>
      <c r="I60" s="161">
        <f>SUMPRODUCT(GT_Cost_DataSheet_PY2!$X$2:$X$71, --(GT_Cost_DataSheet_PY2!$Q$2:$Q$71=E60), (F60="OPS")*GT_Cost_DataSheet_PY2!$R$2:$R$71)+
SUMPRODUCT(GT_Cost_DataSheet_PY2!$X$2:$X$71, --(GT_Cost_DataSheet_PY2!$Q$2:$Q$71=E60), (F60="MAINT")*GT_Cost_DataSheet_PY2!$S$2:$S$71)+
SUMPRODUCT(GT_Cost_DataSheet_PY2!$X$2:$X$71, --(GT_Cost_DataSheet_PY2!$Q$2:$Q$71=E60), (F60="DEV")*GT_Cost_DataSheet_PY2!$T$2:$T$71)+
SUMPRODUCT(GT_Cost_DataSheet_PY2!$X$2:$X$71, --(GT_Cost_DataSheet_PY2!$Q$2:$Q$71=E60), (F60="COORD")*GT_Cost_DataSheet_PY2!$U$2:$U$71)+
SUMPRODUCT(GT_Cost_DataSheet_PY2!$X$2:$X$71, --(GT_Cost_DataSheet_PY2!$Q$2:$Q$71=E60), (F60="SUP")*GT_Cost_DataSheet_PY2!$V$2:$V$71)</f>
        <v>0</v>
      </c>
      <c r="J60" s="185">
        <f>SUMPRODUCT(GT_Cost_DataSheet_PY2!$AB$2:$AB$71, --(GT_Cost_DataSheet_PY2!$Q$2:$Q$71=E60), (F60="OPS")*GT_Cost_DataSheet_PY2!$R$2:$R$71)+SUMPRODUCT(GT_Cost_DataSheet_PY2!$AB$2:$AB$71, --(GT_Cost_DataSheet_PY2!$Q$2:$Q$71=E60), (F60="MAINT")*GT_Cost_DataSheet_PY2!$S$2:$S$71)+SUMPRODUCT(GT_Cost_DataSheet_PY2!$AB$2:$AB$71, --(GT_Cost_DataSheet_PY2!$Q$2:$Q$71=E60), (F60="DEV")*GT_Cost_DataSheet_PY2!$T$2:$T$71)+SUMPRODUCT(GT_Cost_DataSheet_PY2!$AB$2:$AB$71, --(GT_Cost_DataSheet_PY2!$Q$2:$Q$71=E60), (F60="COORD")*GT_Cost_DataSheet_PY2!$U$2:$U$71)+SUMPRODUCT(GT_Cost_DataSheet_PY2!$AB$2:$AB$71, --(GT_Cost_DataSheet_PY2!$Q$2:$Q$71=E60), (F60="SUP")*GT_Cost_DataSheet_PY2!$V$2:$V$71)</f>
        <v>0</v>
      </c>
    </row>
    <row r="61" spans="1:10" s="111" customFormat="1">
      <c r="A61" s="174">
        <v>2.2999999999999998</v>
      </c>
      <c r="B61" s="158" t="s">
        <v>324</v>
      </c>
      <c r="C61" s="158" t="s">
        <v>329</v>
      </c>
      <c r="D61" s="22" t="s">
        <v>330</v>
      </c>
      <c r="E61" s="159" t="s">
        <v>422</v>
      </c>
      <c r="F61" s="160" t="s">
        <v>449</v>
      </c>
      <c r="G61" s="160" t="s">
        <v>496</v>
      </c>
      <c r="H61" s="160"/>
      <c r="I61" s="161">
        <f>SUMPRODUCT(GT_Cost_DataSheet_PY2!$X$2:$X$71, --(GT_Cost_DataSheet_PY2!$Q$2:$Q$71=E61), (F61="OPS")*GT_Cost_DataSheet_PY2!$R$2:$R$71)+
SUMPRODUCT(GT_Cost_DataSheet_PY2!$X$2:$X$71, --(GT_Cost_DataSheet_PY2!$Q$2:$Q$71=E61), (F61="MAINT")*GT_Cost_DataSheet_PY2!$S$2:$S$71)+
SUMPRODUCT(GT_Cost_DataSheet_PY2!$X$2:$X$71, --(GT_Cost_DataSheet_PY2!$Q$2:$Q$71=E61), (F61="DEV")*GT_Cost_DataSheet_PY2!$T$2:$T$71)+
SUMPRODUCT(GT_Cost_DataSheet_PY2!$X$2:$X$71, --(GT_Cost_DataSheet_PY2!$Q$2:$Q$71=E61), (F61="COORD")*GT_Cost_DataSheet_PY2!$U$2:$U$71)+
SUMPRODUCT(GT_Cost_DataSheet_PY2!$X$2:$X$71, --(GT_Cost_DataSheet_PY2!$Q$2:$Q$71=E61), (F61="SUP")*GT_Cost_DataSheet_PY2!$V$2:$V$71)</f>
        <v>0</v>
      </c>
      <c r="J61" s="185">
        <f>SUMPRODUCT(GT_Cost_DataSheet_PY2!$AB$2:$AB$71, --(GT_Cost_DataSheet_PY2!$Q$2:$Q$71=E61), (F61="OPS")*GT_Cost_DataSheet_PY2!$R$2:$R$71)+SUMPRODUCT(GT_Cost_DataSheet_PY2!$AB$2:$AB$71, --(GT_Cost_DataSheet_PY2!$Q$2:$Q$71=E61), (F61="MAINT")*GT_Cost_DataSheet_PY2!$S$2:$S$71)+SUMPRODUCT(GT_Cost_DataSheet_PY2!$AB$2:$AB$71, --(GT_Cost_DataSheet_PY2!$Q$2:$Q$71=E61), (F61="DEV")*GT_Cost_DataSheet_PY2!$T$2:$T$71)+SUMPRODUCT(GT_Cost_DataSheet_PY2!$AB$2:$AB$71, --(GT_Cost_DataSheet_PY2!$Q$2:$Q$71=E61), (F61="COORD")*GT_Cost_DataSheet_PY2!$U$2:$U$71)+SUMPRODUCT(GT_Cost_DataSheet_PY2!$AB$2:$AB$71, --(GT_Cost_DataSheet_PY2!$Q$2:$Q$71=E61), (F61="SUP")*GT_Cost_DataSheet_PY2!$V$2:$V$71)</f>
        <v>0</v>
      </c>
    </row>
    <row r="62" spans="1:10" s="111" customFormat="1">
      <c r="A62" s="174">
        <v>2.2999999999999998</v>
      </c>
      <c r="B62" s="158" t="s">
        <v>324</v>
      </c>
      <c r="C62" s="158" t="s">
        <v>329</v>
      </c>
      <c r="D62" s="22" t="s">
        <v>332</v>
      </c>
      <c r="E62" s="159" t="s">
        <v>424</v>
      </c>
      <c r="F62" s="160" t="s">
        <v>449</v>
      </c>
      <c r="G62" s="160" t="s">
        <v>496</v>
      </c>
      <c r="H62" s="160"/>
      <c r="I62" s="161">
        <f>SUMPRODUCT(GT_Cost_DataSheet_PY2!$X$2:$X$71, --(GT_Cost_DataSheet_PY2!$Q$2:$Q$71=E62), (F62="OPS")*GT_Cost_DataSheet_PY2!$R$2:$R$71)+
SUMPRODUCT(GT_Cost_DataSheet_PY2!$X$2:$X$71, --(GT_Cost_DataSheet_PY2!$Q$2:$Q$71=E62), (F62="MAINT")*GT_Cost_DataSheet_PY2!$S$2:$S$71)+
SUMPRODUCT(GT_Cost_DataSheet_PY2!$X$2:$X$71, --(GT_Cost_DataSheet_PY2!$Q$2:$Q$71=E62), (F62="DEV")*GT_Cost_DataSheet_PY2!$T$2:$T$71)+
SUMPRODUCT(GT_Cost_DataSheet_PY2!$X$2:$X$71, --(GT_Cost_DataSheet_PY2!$Q$2:$Q$71=E62), (F62="COORD")*GT_Cost_DataSheet_PY2!$U$2:$U$71)+
SUMPRODUCT(GT_Cost_DataSheet_PY2!$X$2:$X$71, --(GT_Cost_DataSheet_PY2!$Q$2:$Q$71=E62), (F62="SUP")*GT_Cost_DataSheet_PY2!$V$2:$V$71)</f>
        <v>0</v>
      </c>
      <c r="J62" s="185">
        <f>SUMPRODUCT(GT_Cost_DataSheet_PY2!$AB$2:$AB$71, --(GT_Cost_DataSheet_PY2!$Q$2:$Q$71=E62), (F62="OPS")*GT_Cost_DataSheet_PY2!$R$2:$R$71)+SUMPRODUCT(GT_Cost_DataSheet_PY2!$AB$2:$AB$71, --(GT_Cost_DataSheet_PY2!$Q$2:$Q$71=E62), (F62="MAINT")*GT_Cost_DataSheet_PY2!$S$2:$S$71)+SUMPRODUCT(GT_Cost_DataSheet_PY2!$AB$2:$AB$71, --(GT_Cost_DataSheet_PY2!$Q$2:$Q$71=E62), (F62="DEV")*GT_Cost_DataSheet_PY2!$T$2:$T$71)+SUMPRODUCT(GT_Cost_DataSheet_PY2!$AB$2:$AB$71, --(GT_Cost_DataSheet_PY2!$Q$2:$Q$71=E62), (F62="COORD")*GT_Cost_DataSheet_PY2!$U$2:$U$71)+SUMPRODUCT(GT_Cost_DataSheet_PY2!$AB$2:$AB$71, --(GT_Cost_DataSheet_PY2!$Q$2:$Q$71=E62), (F62="SUP")*GT_Cost_DataSheet_PY2!$V$2:$V$71)</f>
        <v>0</v>
      </c>
    </row>
    <row r="63" spans="1:10" s="111" customFormat="1">
      <c r="A63" s="174">
        <v>2.2999999999999998</v>
      </c>
      <c r="B63" s="117" t="s">
        <v>324</v>
      </c>
      <c r="C63" s="117" t="s">
        <v>329</v>
      </c>
      <c r="D63" s="111" t="s">
        <v>333</v>
      </c>
      <c r="E63" s="119" t="s">
        <v>425</v>
      </c>
      <c r="F63" s="121" t="s">
        <v>302</v>
      </c>
      <c r="G63" s="121" t="s">
        <v>493</v>
      </c>
      <c r="H63" s="121"/>
      <c r="I63" s="123">
        <f>SUMPRODUCT(GT_Cost_DataSheet_PY2!$X$2:$X$71, --(GT_Cost_DataSheet_PY2!$Q$2:$Q$71=E63), (F63="OPS")*GT_Cost_DataSheet_PY2!$R$2:$R$71)+
SUMPRODUCT(GT_Cost_DataSheet_PY2!$X$2:$X$71, --(GT_Cost_DataSheet_PY2!$Q$2:$Q$71=E63), (F63="MAINT")*GT_Cost_DataSheet_PY2!$S$2:$S$71)+
SUMPRODUCT(GT_Cost_DataSheet_PY2!$X$2:$X$71, --(GT_Cost_DataSheet_PY2!$Q$2:$Q$71=E63), (F63="DEV")*GT_Cost_DataSheet_PY2!$T$2:$T$71)+
SUMPRODUCT(GT_Cost_DataSheet_PY2!$X$2:$X$71, --(GT_Cost_DataSheet_PY2!$Q$2:$Q$71=E63), (F63="COORD")*GT_Cost_DataSheet_PY2!$U$2:$U$71)+
SUMPRODUCT(GT_Cost_DataSheet_PY2!$X$2:$X$71, --(GT_Cost_DataSheet_PY2!$Q$2:$Q$71=E63), (F63="SUP")*GT_Cost_DataSheet_PY2!$V$2:$V$71)</f>
        <v>1.2111250785669392</v>
      </c>
      <c r="J63" s="184">
        <f>SUMPRODUCT(GT_Cost_DataSheet_PY2!$AB$2:$AB$71, --(GT_Cost_DataSheet_PY2!$Q$2:$Q$71=E63), (F63="OPS")*GT_Cost_DataSheet_PY2!$R$2:$R$71)+SUMPRODUCT(GT_Cost_DataSheet_PY2!$AB$2:$AB$71, --(GT_Cost_DataSheet_PY2!$Q$2:$Q$71=E63), (F63="MAINT")*GT_Cost_DataSheet_PY2!$S$2:$S$71)+SUMPRODUCT(GT_Cost_DataSheet_PY2!$AB$2:$AB$71, --(GT_Cost_DataSheet_PY2!$Q$2:$Q$71=E63), (F63="DEV")*GT_Cost_DataSheet_PY2!$T$2:$T$71)+SUMPRODUCT(GT_Cost_DataSheet_PY2!$AB$2:$AB$71, --(GT_Cost_DataSheet_PY2!$Q$2:$Q$71=E63), (F63="COORD")*GT_Cost_DataSheet_PY2!$U$2:$U$71)+SUMPRODUCT(GT_Cost_DataSheet_PY2!$AB$2:$AB$71, --(GT_Cost_DataSheet_PY2!$Q$2:$Q$71=E63), (F63="SUP")*GT_Cost_DataSheet_PY2!$V$2:$V$71)</f>
        <v>18637.065999999999</v>
      </c>
    </row>
    <row r="64" spans="1:10" s="111" customFormat="1">
      <c r="A64" s="174">
        <v>2.2999999999999998</v>
      </c>
      <c r="B64" s="117" t="s">
        <v>324</v>
      </c>
      <c r="C64" s="117" t="s">
        <v>329</v>
      </c>
      <c r="D64" s="111" t="s">
        <v>333</v>
      </c>
      <c r="E64" s="119" t="s">
        <v>425</v>
      </c>
      <c r="F64" s="121" t="s">
        <v>449</v>
      </c>
      <c r="G64" s="121" t="s">
        <v>496</v>
      </c>
      <c r="H64" s="121"/>
      <c r="I64" s="123">
        <f>SUMPRODUCT(GT_Cost_DataSheet_PY2!$X$2:$X$71, --(GT_Cost_DataSheet_PY2!$Q$2:$Q$71=E64), (F64="OPS")*GT_Cost_DataSheet_PY2!$R$2:$R$71)+
SUMPRODUCT(GT_Cost_DataSheet_PY2!$X$2:$X$71, --(GT_Cost_DataSheet_PY2!$Q$2:$Q$71=E64), (F64="MAINT")*GT_Cost_DataSheet_PY2!$S$2:$S$71)+
SUMPRODUCT(GT_Cost_DataSheet_PY2!$X$2:$X$71, --(GT_Cost_DataSheet_PY2!$Q$2:$Q$71=E64), (F64="DEV")*GT_Cost_DataSheet_PY2!$T$2:$T$71)+
SUMPRODUCT(GT_Cost_DataSheet_PY2!$X$2:$X$71, --(GT_Cost_DataSheet_PY2!$Q$2:$Q$71=E64), (F64="COORD")*GT_Cost_DataSheet_PY2!$U$2:$U$71)+
SUMPRODUCT(GT_Cost_DataSheet_PY2!$X$2:$X$71, --(GT_Cost_DataSheet_PY2!$Q$2:$Q$71=E64), (F64="SUP")*GT_Cost_DataSheet_PY2!$V$2:$V$71)</f>
        <v>3.6333752357008176</v>
      </c>
      <c r="J64" s="184">
        <f>SUMPRODUCT(GT_Cost_DataSheet_PY2!$AB$2:$AB$71, --(GT_Cost_DataSheet_PY2!$Q$2:$Q$71=E64), (F64="OPS")*GT_Cost_DataSheet_PY2!$R$2:$R$71)+SUMPRODUCT(GT_Cost_DataSheet_PY2!$AB$2:$AB$71, --(GT_Cost_DataSheet_PY2!$Q$2:$Q$71=E64), (F64="MAINT")*GT_Cost_DataSheet_PY2!$S$2:$S$71)+SUMPRODUCT(GT_Cost_DataSheet_PY2!$AB$2:$AB$71, --(GT_Cost_DataSheet_PY2!$Q$2:$Q$71=E64), (F64="DEV")*GT_Cost_DataSheet_PY2!$T$2:$T$71)+SUMPRODUCT(GT_Cost_DataSheet_PY2!$AB$2:$AB$71, --(GT_Cost_DataSheet_PY2!$Q$2:$Q$71=E64), (F64="COORD")*GT_Cost_DataSheet_PY2!$U$2:$U$71)+SUMPRODUCT(GT_Cost_DataSheet_PY2!$AB$2:$AB$71, --(GT_Cost_DataSheet_PY2!$Q$2:$Q$71=E64), (F64="SUP")*GT_Cost_DataSheet_PY2!$V$2:$V$71)</f>
        <v>55911.197999999997</v>
      </c>
    </row>
    <row r="65" spans="1:10" s="111" customFormat="1">
      <c r="A65" s="174">
        <v>2.4</v>
      </c>
      <c r="B65" s="117" t="s">
        <v>324</v>
      </c>
      <c r="C65" s="117" t="s">
        <v>325</v>
      </c>
      <c r="D65" s="111" t="s">
        <v>401</v>
      </c>
      <c r="E65" s="119" t="s">
        <v>420</v>
      </c>
      <c r="F65" s="187" t="s">
        <v>302</v>
      </c>
      <c r="G65" s="121" t="s">
        <v>493</v>
      </c>
      <c r="H65" s="121"/>
      <c r="I65" s="123">
        <f>SUMPRODUCT(GT_Cost_DataSheet_PY2!$X$2:$X$71, --(GT_Cost_DataSheet_PY2!$Q$2:$Q$71=E65), (F65="OPS")*GT_Cost_DataSheet_PY2!$R$2:$R$71)+
SUMPRODUCT(GT_Cost_DataSheet_PY2!$X$2:$X$71, --(GT_Cost_DataSheet_PY2!$Q$2:$Q$71=E65), (F65="MAINT")*GT_Cost_DataSheet_PY2!$S$2:$S$71)+
SUMPRODUCT(GT_Cost_DataSheet_PY2!$X$2:$X$71, --(GT_Cost_DataSheet_PY2!$Q$2:$Q$71=E65), (F65="DEV")*GT_Cost_DataSheet_PY2!$T$2:$T$71)+
SUMPRODUCT(GT_Cost_DataSheet_PY2!$X$2:$X$71, --(GT_Cost_DataSheet_PY2!$Q$2:$Q$71=E65), (F65="COORD")*GT_Cost_DataSheet_PY2!$U$2:$U$71)+
SUMPRODUCT(GT_Cost_DataSheet_PY2!$X$2:$X$71, --(GT_Cost_DataSheet_PY2!$Q$2:$Q$71=E65), (F65="SUP")*GT_Cost_DataSheet_PY2!$V$2:$V$71)</f>
        <v>0</v>
      </c>
      <c r="J65" s="184">
        <f>SUMPRODUCT(GT_Cost_DataSheet_PY2!$AB$2:$AB$71, --(GT_Cost_DataSheet_PY2!$Q$2:$Q$71=E65), (F65="OPS")*GT_Cost_DataSheet_PY2!$R$2:$R$71)+SUMPRODUCT(GT_Cost_DataSheet_PY2!$AB$2:$AB$71, --(GT_Cost_DataSheet_PY2!$Q$2:$Q$71=E65), (F65="MAINT")*GT_Cost_DataSheet_PY2!$S$2:$S$71)+SUMPRODUCT(GT_Cost_DataSheet_PY2!$AB$2:$AB$71, --(GT_Cost_DataSheet_PY2!$Q$2:$Q$71=E65), (F65="DEV")*GT_Cost_DataSheet_PY2!$T$2:$T$71)+SUMPRODUCT(GT_Cost_DataSheet_PY2!$AB$2:$AB$71, --(GT_Cost_DataSheet_PY2!$Q$2:$Q$71=E65), (F65="COORD")*GT_Cost_DataSheet_PY2!$U$2:$U$71)+SUMPRODUCT(GT_Cost_DataSheet_PY2!$AB$2:$AB$71, --(GT_Cost_DataSheet_PY2!$Q$2:$Q$71=E65), (F65="SUP")*GT_Cost_DataSheet_PY2!$V$2:$V$71)</f>
        <v>0</v>
      </c>
    </row>
    <row r="66" spans="1:10" s="111" customFormat="1">
      <c r="A66" s="174">
        <v>2.4</v>
      </c>
      <c r="B66" s="117" t="s">
        <v>324</v>
      </c>
      <c r="C66" s="117" t="s">
        <v>325</v>
      </c>
      <c r="D66" s="111" t="s">
        <v>401</v>
      </c>
      <c r="E66" s="119" t="s">
        <v>420</v>
      </c>
      <c r="F66" s="121" t="s">
        <v>449</v>
      </c>
      <c r="G66" s="121" t="s">
        <v>493</v>
      </c>
      <c r="H66" s="121"/>
      <c r="I66" s="123">
        <f>SUMPRODUCT(GT_Cost_DataSheet_PY2!$X$2:$X$71, --(GT_Cost_DataSheet_PY2!$Q$2:$Q$71=E66), (F66="OPS")*GT_Cost_DataSheet_PY2!$R$2:$R$71)+
SUMPRODUCT(GT_Cost_DataSheet_PY2!$X$2:$X$71, --(GT_Cost_DataSheet_PY2!$Q$2:$Q$71=E66), (F66="MAINT")*GT_Cost_DataSheet_PY2!$S$2:$S$71)+
SUMPRODUCT(GT_Cost_DataSheet_PY2!$X$2:$X$71, --(GT_Cost_DataSheet_PY2!$Q$2:$Q$71=E66), (F66="DEV")*GT_Cost_DataSheet_PY2!$T$2:$T$71)+
SUMPRODUCT(GT_Cost_DataSheet_PY2!$X$2:$X$71, --(GT_Cost_DataSheet_PY2!$Q$2:$Q$71=E66), (F66="COORD")*GT_Cost_DataSheet_PY2!$U$2:$U$71)+
SUMPRODUCT(GT_Cost_DataSheet_PY2!$X$2:$X$71, --(GT_Cost_DataSheet_PY2!$Q$2:$Q$71=E66), (F66="SUP")*GT_Cost_DataSheet_PY2!$V$2:$V$71)</f>
        <v>0</v>
      </c>
      <c r="J66" s="184">
        <f>SUMPRODUCT(GT_Cost_DataSheet_PY2!$AB$2:$AB$71, --(GT_Cost_DataSheet_PY2!$Q$2:$Q$71=E66), (F66="OPS")*GT_Cost_DataSheet_PY2!$R$2:$R$71)+SUMPRODUCT(GT_Cost_DataSheet_PY2!$AB$2:$AB$71, --(GT_Cost_DataSheet_PY2!$Q$2:$Q$71=E66), (F66="MAINT")*GT_Cost_DataSheet_PY2!$S$2:$S$71)+SUMPRODUCT(GT_Cost_DataSheet_PY2!$AB$2:$AB$71, --(GT_Cost_DataSheet_PY2!$Q$2:$Q$71=E66), (F66="DEV")*GT_Cost_DataSheet_PY2!$T$2:$T$71)+SUMPRODUCT(GT_Cost_DataSheet_PY2!$AB$2:$AB$71, --(GT_Cost_DataSheet_PY2!$Q$2:$Q$71=E66), (F66="COORD")*GT_Cost_DataSheet_PY2!$U$2:$U$71)+SUMPRODUCT(GT_Cost_DataSheet_PY2!$AB$2:$AB$71, --(GT_Cost_DataSheet_PY2!$Q$2:$Q$71=E66), (F66="SUP")*GT_Cost_DataSheet_PY2!$V$2:$V$71)</f>
        <v>0</v>
      </c>
    </row>
    <row r="67" spans="1:10" s="111" customFormat="1">
      <c r="A67" s="174">
        <v>2.4</v>
      </c>
      <c r="B67" s="158" t="s">
        <v>324</v>
      </c>
      <c r="C67" s="158" t="s">
        <v>325</v>
      </c>
      <c r="D67" s="22" t="s">
        <v>326</v>
      </c>
      <c r="E67" s="159" t="s">
        <v>421</v>
      </c>
      <c r="F67" s="160" t="s">
        <v>302</v>
      </c>
      <c r="G67" s="160" t="s">
        <v>412</v>
      </c>
      <c r="H67" s="160"/>
      <c r="I67" s="161">
        <f>SUMPRODUCT(GT_Cost_DataSheet_PY2!$X$2:$X$71, --(GT_Cost_DataSheet_PY2!$Q$2:$Q$71=E67), (F67="OPS")*GT_Cost_DataSheet_PY2!$R$2:$R$71)+
SUMPRODUCT(GT_Cost_DataSheet_PY2!$X$2:$X$71, --(GT_Cost_DataSheet_PY2!$Q$2:$Q$71=E67), (F67="MAINT")*GT_Cost_DataSheet_PY2!$S$2:$S$71)+
SUMPRODUCT(GT_Cost_DataSheet_PY2!$X$2:$X$71, --(GT_Cost_DataSheet_PY2!$Q$2:$Q$71=E67), (F67="DEV")*GT_Cost_DataSheet_PY2!$T$2:$T$71)+
SUMPRODUCT(GT_Cost_DataSheet_PY2!$X$2:$X$71, --(GT_Cost_DataSheet_PY2!$Q$2:$Q$71=E67), (F67="COORD")*GT_Cost_DataSheet_PY2!$U$2:$U$71)+
SUMPRODUCT(GT_Cost_DataSheet_PY2!$X$2:$X$71, --(GT_Cost_DataSheet_PY2!$Q$2:$Q$71=E67), (F67="SUP")*GT_Cost_DataSheet_PY2!$V$2:$V$71)</f>
        <v>0</v>
      </c>
      <c r="J67" s="185">
        <f>SUMPRODUCT(GT_Cost_DataSheet_PY2!$AB$2:$AB$71, --(GT_Cost_DataSheet_PY2!$Q$2:$Q$71=E67), (F67="OPS")*GT_Cost_DataSheet_PY2!$R$2:$R$71)+SUMPRODUCT(GT_Cost_DataSheet_PY2!$AB$2:$AB$71, --(GT_Cost_DataSheet_PY2!$Q$2:$Q$71=E67), (F67="MAINT")*GT_Cost_DataSheet_PY2!$S$2:$S$71)+SUMPRODUCT(GT_Cost_DataSheet_PY2!$AB$2:$AB$71, --(GT_Cost_DataSheet_PY2!$Q$2:$Q$71=E67), (F67="DEV")*GT_Cost_DataSheet_PY2!$T$2:$T$71)+SUMPRODUCT(GT_Cost_DataSheet_PY2!$AB$2:$AB$71, --(GT_Cost_DataSheet_PY2!$Q$2:$Q$71=E67), (F67="COORD")*GT_Cost_DataSheet_PY2!$U$2:$U$71)+SUMPRODUCT(GT_Cost_DataSheet_PY2!$AB$2:$AB$71, --(GT_Cost_DataSheet_PY2!$Q$2:$Q$71=E67), (F67="SUP")*GT_Cost_DataSheet_PY2!$V$2:$V$71)</f>
        <v>0</v>
      </c>
    </row>
    <row r="68" spans="1:10" s="111" customFormat="1">
      <c r="A68" s="174">
        <v>2.4</v>
      </c>
      <c r="B68" s="158" t="s">
        <v>324</v>
      </c>
      <c r="C68" s="158" t="s">
        <v>325</v>
      </c>
      <c r="D68" s="22" t="s">
        <v>326</v>
      </c>
      <c r="E68" s="159" t="s">
        <v>421</v>
      </c>
      <c r="F68" s="160" t="s">
        <v>449</v>
      </c>
      <c r="G68" s="160" t="s">
        <v>493</v>
      </c>
      <c r="H68" s="160"/>
      <c r="I68" s="161">
        <f>SUMPRODUCT(GT_Cost_DataSheet_PY2!$X$2:$X$71, --(GT_Cost_DataSheet_PY2!$Q$2:$Q$71=E68), (F68="OPS")*GT_Cost_DataSheet_PY2!$R$2:$R$71)+
SUMPRODUCT(GT_Cost_DataSheet_PY2!$X$2:$X$71, --(GT_Cost_DataSheet_PY2!$Q$2:$Q$71=E68), (F68="MAINT")*GT_Cost_DataSheet_PY2!$S$2:$S$71)+
SUMPRODUCT(GT_Cost_DataSheet_PY2!$X$2:$X$71, --(GT_Cost_DataSheet_PY2!$Q$2:$Q$71=E68), (F68="DEV")*GT_Cost_DataSheet_PY2!$T$2:$T$71)+
SUMPRODUCT(GT_Cost_DataSheet_PY2!$X$2:$X$71, --(GT_Cost_DataSheet_PY2!$Q$2:$Q$71=E68), (F68="COORD")*GT_Cost_DataSheet_PY2!$U$2:$U$71)+
SUMPRODUCT(GT_Cost_DataSheet_PY2!$X$2:$X$71, --(GT_Cost_DataSheet_PY2!$Q$2:$Q$71=E68), (F68="SUP")*GT_Cost_DataSheet_PY2!$V$2:$V$71)</f>
        <v>0</v>
      </c>
      <c r="J68" s="185">
        <f>SUMPRODUCT(GT_Cost_DataSheet_PY2!$AB$2:$AB$71, --(GT_Cost_DataSheet_PY2!$Q$2:$Q$71=E68), (F68="OPS")*GT_Cost_DataSheet_PY2!$R$2:$R$71)+SUMPRODUCT(GT_Cost_DataSheet_PY2!$AB$2:$AB$71, --(GT_Cost_DataSheet_PY2!$Q$2:$Q$71=E68), (F68="MAINT")*GT_Cost_DataSheet_PY2!$S$2:$S$71)+SUMPRODUCT(GT_Cost_DataSheet_PY2!$AB$2:$AB$71, --(GT_Cost_DataSheet_PY2!$Q$2:$Q$71=E68), (F68="DEV")*GT_Cost_DataSheet_PY2!$T$2:$T$71)+SUMPRODUCT(GT_Cost_DataSheet_PY2!$AB$2:$AB$71, --(GT_Cost_DataSheet_PY2!$Q$2:$Q$71=E68), (F68="COORD")*GT_Cost_DataSheet_PY2!$U$2:$U$71)+SUMPRODUCT(GT_Cost_DataSheet_PY2!$AB$2:$AB$71, --(GT_Cost_DataSheet_PY2!$Q$2:$Q$71=E68), (F68="SUP")*GT_Cost_DataSheet_PY2!$V$2:$V$71)</f>
        <v>0</v>
      </c>
    </row>
    <row r="69" spans="1:10" s="111" customFormat="1">
      <c r="A69" s="174">
        <v>2.5</v>
      </c>
      <c r="B69" s="158" t="s">
        <v>324</v>
      </c>
      <c r="C69" s="158" t="s">
        <v>334</v>
      </c>
      <c r="D69" s="22" t="s">
        <v>336</v>
      </c>
      <c r="E69" s="159" t="s">
        <v>427</v>
      </c>
      <c r="F69" s="160" t="s">
        <v>302</v>
      </c>
      <c r="G69" s="160" t="s">
        <v>412</v>
      </c>
      <c r="H69" s="160"/>
      <c r="I69" s="161">
        <f>SUMPRODUCT(GT_Cost_DataSheet_PY2!$X$2:$X$71, --(GT_Cost_DataSheet_PY2!$Q$2:$Q$71=E69), (F69="OPS")*GT_Cost_DataSheet_PY2!$R$2:$R$71)+
SUMPRODUCT(GT_Cost_DataSheet_PY2!$X$2:$X$71, --(GT_Cost_DataSheet_PY2!$Q$2:$Q$71=E69), (F69="MAINT")*GT_Cost_DataSheet_PY2!$S$2:$S$71)+
SUMPRODUCT(GT_Cost_DataSheet_PY2!$X$2:$X$71, --(GT_Cost_DataSheet_PY2!$Q$2:$Q$71=E69), (F69="DEV")*GT_Cost_DataSheet_PY2!$T$2:$T$71)+
SUMPRODUCT(GT_Cost_DataSheet_PY2!$X$2:$X$71, --(GT_Cost_DataSheet_PY2!$Q$2:$Q$71=E69), (F69="COORD")*GT_Cost_DataSheet_PY2!$U$2:$U$71)+
SUMPRODUCT(GT_Cost_DataSheet_PY2!$X$2:$X$71, --(GT_Cost_DataSheet_PY2!$Q$2:$Q$71=E69), (F69="SUP")*GT_Cost_DataSheet_PY2!$V$2:$V$71)</f>
        <v>0</v>
      </c>
      <c r="J69" s="185">
        <f>SUMPRODUCT(GT_Cost_DataSheet_PY2!$AB$2:$AB$71, --(GT_Cost_DataSheet_PY2!$Q$2:$Q$71=E69), (F69="OPS")*GT_Cost_DataSheet_PY2!$R$2:$R$71)+SUMPRODUCT(GT_Cost_DataSheet_PY2!$AB$2:$AB$71, --(GT_Cost_DataSheet_PY2!$Q$2:$Q$71=E69), (F69="MAINT")*GT_Cost_DataSheet_PY2!$S$2:$S$71)+SUMPRODUCT(GT_Cost_DataSheet_PY2!$AB$2:$AB$71, --(GT_Cost_DataSheet_PY2!$Q$2:$Q$71=E69), (F69="DEV")*GT_Cost_DataSheet_PY2!$T$2:$T$71)+SUMPRODUCT(GT_Cost_DataSheet_PY2!$AB$2:$AB$71, --(GT_Cost_DataSheet_PY2!$Q$2:$Q$71=E69), (F69="COORD")*GT_Cost_DataSheet_PY2!$U$2:$U$71)+SUMPRODUCT(GT_Cost_DataSheet_PY2!$AB$2:$AB$71, --(GT_Cost_DataSheet_PY2!$Q$2:$Q$71=E69), (F69="SUP")*GT_Cost_DataSheet_PY2!$V$2:$V$71)</f>
        <v>0</v>
      </c>
    </row>
    <row r="70" spans="1:10" s="111" customFormat="1">
      <c r="A70" s="174">
        <v>2.5</v>
      </c>
      <c r="B70" s="158" t="s">
        <v>324</v>
      </c>
      <c r="C70" s="158" t="s">
        <v>334</v>
      </c>
      <c r="D70" s="22" t="s">
        <v>336</v>
      </c>
      <c r="E70" s="159" t="s">
        <v>427</v>
      </c>
      <c r="F70" s="160" t="s">
        <v>449</v>
      </c>
      <c r="G70" s="160" t="s">
        <v>493</v>
      </c>
      <c r="H70" s="160"/>
      <c r="I70" s="161">
        <f>SUMPRODUCT(GT_Cost_DataSheet_PY2!$X$2:$X$71, --(GT_Cost_DataSheet_PY2!$Q$2:$Q$71=E70), (F70="OPS")*GT_Cost_DataSheet_PY2!$R$2:$R$71)+
SUMPRODUCT(GT_Cost_DataSheet_PY2!$X$2:$X$71, --(GT_Cost_DataSheet_PY2!$Q$2:$Q$71=E70), (F70="MAINT")*GT_Cost_DataSheet_PY2!$S$2:$S$71)+
SUMPRODUCT(GT_Cost_DataSheet_PY2!$X$2:$X$71, --(GT_Cost_DataSheet_PY2!$Q$2:$Q$71=E70), (F70="DEV")*GT_Cost_DataSheet_PY2!$T$2:$T$71)+
SUMPRODUCT(GT_Cost_DataSheet_PY2!$X$2:$X$71, --(GT_Cost_DataSheet_PY2!$Q$2:$Q$71=E70), (F70="COORD")*GT_Cost_DataSheet_PY2!$U$2:$U$71)+
SUMPRODUCT(GT_Cost_DataSheet_PY2!$X$2:$X$71, --(GT_Cost_DataSheet_PY2!$Q$2:$Q$71=E70), (F70="SUP")*GT_Cost_DataSheet_PY2!$V$2:$V$71)</f>
        <v>0</v>
      </c>
      <c r="J70" s="185">
        <f>SUMPRODUCT(GT_Cost_DataSheet_PY2!$AB$2:$AB$71, --(GT_Cost_DataSheet_PY2!$Q$2:$Q$71=E70), (F70="OPS")*GT_Cost_DataSheet_PY2!$R$2:$R$71)+SUMPRODUCT(GT_Cost_DataSheet_PY2!$AB$2:$AB$71, --(GT_Cost_DataSheet_PY2!$Q$2:$Q$71=E70), (F70="MAINT")*GT_Cost_DataSheet_PY2!$S$2:$S$71)+SUMPRODUCT(GT_Cost_DataSheet_PY2!$AB$2:$AB$71, --(GT_Cost_DataSheet_PY2!$Q$2:$Q$71=E70), (F70="DEV")*GT_Cost_DataSheet_PY2!$T$2:$T$71)+SUMPRODUCT(GT_Cost_DataSheet_PY2!$AB$2:$AB$71, --(GT_Cost_DataSheet_PY2!$Q$2:$Q$71=E70), (F70="COORD")*GT_Cost_DataSheet_PY2!$U$2:$U$71)+SUMPRODUCT(GT_Cost_DataSheet_PY2!$AB$2:$AB$71, --(GT_Cost_DataSheet_PY2!$Q$2:$Q$71=E70), (F70="SUP")*GT_Cost_DataSheet_PY2!$V$2:$V$71)</f>
        <v>0</v>
      </c>
    </row>
    <row r="71" spans="1:10" s="111" customFormat="1">
      <c r="A71" s="174">
        <v>2.5</v>
      </c>
      <c r="B71" s="158" t="s">
        <v>324</v>
      </c>
      <c r="C71" s="158" t="s">
        <v>334</v>
      </c>
      <c r="D71" s="22" t="s">
        <v>338</v>
      </c>
      <c r="E71" s="159" t="s">
        <v>440</v>
      </c>
      <c r="F71" s="160" t="s">
        <v>302</v>
      </c>
      <c r="G71" s="160" t="s">
        <v>493</v>
      </c>
      <c r="H71" s="160"/>
      <c r="I71" s="161">
        <f>SUMPRODUCT(GT_Cost_DataSheet_PY2!$X$2:$X$71, --(GT_Cost_DataSheet_PY2!$Q$2:$Q$71=E71), (F71="OPS")*GT_Cost_DataSheet_PY2!$R$2:$R$71)+
SUMPRODUCT(GT_Cost_DataSheet_PY2!$X$2:$X$71, --(GT_Cost_DataSheet_PY2!$Q$2:$Q$71=E71), (F71="MAINT")*GT_Cost_DataSheet_PY2!$S$2:$S$71)+
SUMPRODUCT(GT_Cost_DataSheet_PY2!$X$2:$X$71, --(GT_Cost_DataSheet_PY2!$Q$2:$Q$71=E71), (F71="DEV")*GT_Cost_DataSheet_PY2!$T$2:$T$71)+
SUMPRODUCT(GT_Cost_DataSheet_PY2!$X$2:$X$71, --(GT_Cost_DataSheet_PY2!$Q$2:$Q$71=E71), (F71="COORD")*GT_Cost_DataSheet_PY2!$U$2:$U$71)+
SUMPRODUCT(GT_Cost_DataSheet_PY2!$X$2:$X$71, --(GT_Cost_DataSheet_PY2!$Q$2:$Q$71=E71), (F71="SUP")*GT_Cost_DataSheet_PY2!$V$2:$V$71)</f>
        <v>0</v>
      </c>
      <c r="J71" s="185">
        <f>SUMPRODUCT(GT_Cost_DataSheet_PY2!$AB$2:$AB$71, --(GT_Cost_DataSheet_PY2!$Q$2:$Q$71=E71), (F71="OPS")*GT_Cost_DataSheet_PY2!$R$2:$R$71)+SUMPRODUCT(GT_Cost_DataSheet_PY2!$AB$2:$AB$71, --(GT_Cost_DataSheet_PY2!$Q$2:$Q$71=E71), (F71="MAINT")*GT_Cost_DataSheet_PY2!$S$2:$S$71)+SUMPRODUCT(GT_Cost_DataSheet_PY2!$AB$2:$AB$71, --(GT_Cost_DataSheet_PY2!$Q$2:$Q$71=E71), (F71="DEV")*GT_Cost_DataSheet_PY2!$T$2:$T$71)+SUMPRODUCT(GT_Cost_DataSheet_PY2!$AB$2:$AB$71, --(GT_Cost_DataSheet_PY2!$Q$2:$Q$71=E71), (F71="COORD")*GT_Cost_DataSheet_PY2!$U$2:$U$71)+SUMPRODUCT(GT_Cost_DataSheet_PY2!$AB$2:$AB$71, --(GT_Cost_DataSheet_PY2!$Q$2:$Q$71=E71), (F71="SUP")*GT_Cost_DataSheet_PY2!$V$2:$V$71)</f>
        <v>0</v>
      </c>
    </row>
    <row r="72" spans="1:10" s="111" customFormat="1">
      <c r="A72" s="174">
        <v>2.5</v>
      </c>
      <c r="B72" s="158" t="s">
        <v>324</v>
      </c>
      <c r="C72" s="158" t="s">
        <v>334</v>
      </c>
      <c r="D72" s="22" t="s">
        <v>338</v>
      </c>
      <c r="E72" s="159" t="s">
        <v>440</v>
      </c>
      <c r="F72" s="160" t="s">
        <v>449</v>
      </c>
      <c r="G72" s="160" t="s">
        <v>493</v>
      </c>
      <c r="H72" s="160"/>
      <c r="I72" s="161">
        <f>SUMPRODUCT(GT_Cost_DataSheet_PY2!$X$2:$X$71, --(GT_Cost_DataSheet_PY2!$Q$2:$Q$71=E72), (F72="OPS")*GT_Cost_DataSheet_PY2!$R$2:$R$71)+
SUMPRODUCT(GT_Cost_DataSheet_PY2!$X$2:$X$71, --(GT_Cost_DataSheet_PY2!$Q$2:$Q$71=E72), (F72="MAINT")*GT_Cost_DataSheet_PY2!$S$2:$S$71)+
SUMPRODUCT(GT_Cost_DataSheet_PY2!$X$2:$X$71, --(GT_Cost_DataSheet_PY2!$Q$2:$Q$71=E72), (F72="DEV")*GT_Cost_DataSheet_PY2!$T$2:$T$71)+
SUMPRODUCT(GT_Cost_DataSheet_PY2!$X$2:$X$71, --(GT_Cost_DataSheet_PY2!$Q$2:$Q$71=E72), (F72="COORD")*GT_Cost_DataSheet_PY2!$U$2:$U$71)+
SUMPRODUCT(GT_Cost_DataSheet_PY2!$X$2:$X$71, --(GT_Cost_DataSheet_PY2!$Q$2:$Q$71=E72), (F72="SUP")*GT_Cost_DataSheet_PY2!$V$2:$V$71)</f>
        <v>0</v>
      </c>
      <c r="J72" s="185">
        <f>SUMPRODUCT(GT_Cost_DataSheet_PY2!$AB$2:$AB$71, --(GT_Cost_DataSheet_PY2!$Q$2:$Q$71=E72), (F72="OPS")*GT_Cost_DataSheet_PY2!$R$2:$R$71)+SUMPRODUCT(GT_Cost_DataSheet_PY2!$AB$2:$AB$71, --(GT_Cost_DataSheet_PY2!$Q$2:$Q$71=E72), (F72="MAINT")*GT_Cost_DataSheet_PY2!$S$2:$S$71)+SUMPRODUCT(GT_Cost_DataSheet_PY2!$AB$2:$AB$71, --(GT_Cost_DataSheet_PY2!$Q$2:$Q$71=E72), (F72="DEV")*GT_Cost_DataSheet_PY2!$T$2:$T$71)+SUMPRODUCT(GT_Cost_DataSheet_PY2!$AB$2:$AB$71, --(GT_Cost_DataSheet_PY2!$Q$2:$Q$71=E72), (F72="COORD")*GT_Cost_DataSheet_PY2!$U$2:$U$71)+SUMPRODUCT(GT_Cost_DataSheet_PY2!$AB$2:$AB$71, --(GT_Cost_DataSheet_PY2!$Q$2:$Q$71=E72), (F72="SUP")*GT_Cost_DataSheet_PY2!$V$2:$V$71)</f>
        <v>0</v>
      </c>
    </row>
    <row r="73" spans="1:10" s="111" customFormat="1">
      <c r="A73" s="174">
        <v>2.5</v>
      </c>
      <c r="B73" s="158" t="s">
        <v>324</v>
      </c>
      <c r="C73" s="158" t="s">
        <v>334</v>
      </c>
      <c r="D73" s="22" t="s">
        <v>337</v>
      </c>
      <c r="E73" s="159" t="s">
        <v>428</v>
      </c>
      <c r="F73" s="160" t="s">
        <v>302</v>
      </c>
      <c r="G73" s="160" t="s">
        <v>412</v>
      </c>
      <c r="H73" s="160"/>
      <c r="I73" s="161">
        <f>SUMPRODUCT(GT_Cost_DataSheet_PY2!$X$2:$X$71, --(GT_Cost_DataSheet_PY2!$Q$2:$Q$71=E73), (F73="OPS")*GT_Cost_DataSheet_PY2!$R$2:$R$71)+
SUMPRODUCT(GT_Cost_DataSheet_PY2!$X$2:$X$71, --(GT_Cost_DataSheet_PY2!$Q$2:$Q$71=E73), (F73="MAINT")*GT_Cost_DataSheet_PY2!$S$2:$S$71)+
SUMPRODUCT(GT_Cost_DataSheet_PY2!$X$2:$X$71, --(GT_Cost_DataSheet_PY2!$Q$2:$Q$71=E73), (F73="DEV")*GT_Cost_DataSheet_PY2!$T$2:$T$71)+
SUMPRODUCT(GT_Cost_DataSheet_PY2!$X$2:$X$71, --(GT_Cost_DataSheet_PY2!$Q$2:$Q$71=E73), (F73="COORD")*GT_Cost_DataSheet_PY2!$U$2:$U$71)+
SUMPRODUCT(GT_Cost_DataSheet_PY2!$X$2:$X$71, --(GT_Cost_DataSheet_PY2!$Q$2:$Q$71=E73), (F73="SUP")*GT_Cost_DataSheet_PY2!$V$2:$V$71)</f>
        <v>0</v>
      </c>
      <c r="J73" s="185">
        <f>SUMPRODUCT(GT_Cost_DataSheet_PY2!$AB$2:$AB$71, --(GT_Cost_DataSheet_PY2!$Q$2:$Q$71=E73), (F73="OPS")*GT_Cost_DataSheet_PY2!$R$2:$R$71)+SUMPRODUCT(GT_Cost_DataSheet_PY2!$AB$2:$AB$71, --(GT_Cost_DataSheet_PY2!$Q$2:$Q$71=E73), (F73="MAINT")*GT_Cost_DataSheet_PY2!$S$2:$S$71)+SUMPRODUCT(GT_Cost_DataSheet_PY2!$AB$2:$AB$71, --(GT_Cost_DataSheet_PY2!$Q$2:$Q$71=E73), (F73="DEV")*GT_Cost_DataSheet_PY2!$T$2:$T$71)+SUMPRODUCT(GT_Cost_DataSheet_PY2!$AB$2:$AB$71, --(GT_Cost_DataSheet_PY2!$Q$2:$Q$71=E73), (F73="COORD")*GT_Cost_DataSheet_PY2!$U$2:$U$71)+SUMPRODUCT(GT_Cost_DataSheet_PY2!$AB$2:$AB$71, --(GT_Cost_DataSheet_PY2!$Q$2:$Q$71=E73), (F73="SUP")*GT_Cost_DataSheet_PY2!$V$2:$V$71)</f>
        <v>0</v>
      </c>
    </row>
    <row r="74" spans="1:10" s="111" customFormat="1">
      <c r="A74" s="174">
        <v>2.5</v>
      </c>
      <c r="B74" s="158" t="s">
        <v>324</v>
      </c>
      <c r="C74" s="158" t="s">
        <v>334</v>
      </c>
      <c r="D74" s="22" t="s">
        <v>337</v>
      </c>
      <c r="E74" s="159" t="s">
        <v>428</v>
      </c>
      <c r="F74" s="160" t="s">
        <v>449</v>
      </c>
      <c r="G74" s="160" t="s">
        <v>493</v>
      </c>
      <c r="H74" s="160"/>
      <c r="I74" s="161">
        <f>SUMPRODUCT(GT_Cost_DataSheet_PY2!$X$2:$X$71, --(GT_Cost_DataSheet_PY2!$Q$2:$Q$71=E74), (F74="OPS")*GT_Cost_DataSheet_PY2!$R$2:$R$71)+
SUMPRODUCT(GT_Cost_DataSheet_PY2!$X$2:$X$71, --(GT_Cost_DataSheet_PY2!$Q$2:$Q$71=E74), (F74="MAINT")*GT_Cost_DataSheet_PY2!$S$2:$S$71)+
SUMPRODUCT(GT_Cost_DataSheet_PY2!$X$2:$X$71, --(GT_Cost_DataSheet_PY2!$Q$2:$Q$71=E74), (F74="DEV")*GT_Cost_DataSheet_PY2!$T$2:$T$71)+
SUMPRODUCT(GT_Cost_DataSheet_PY2!$X$2:$X$71, --(GT_Cost_DataSheet_PY2!$Q$2:$Q$71=E74), (F74="COORD")*GT_Cost_DataSheet_PY2!$U$2:$U$71)+
SUMPRODUCT(GT_Cost_DataSheet_PY2!$X$2:$X$71, --(GT_Cost_DataSheet_PY2!$Q$2:$Q$71=E74), (F74="SUP")*GT_Cost_DataSheet_PY2!$V$2:$V$71)</f>
        <v>0</v>
      </c>
      <c r="J74" s="185">
        <f>SUMPRODUCT(GT_Cost_DataSheet_PY2!$AB$2:$AB$71, --(GT_Cost_DataSheet_PY2!$Q$2:$Q$71=E74), (F74="OPS")*GT_Cost_DataSheet_PY2!$R$2:$R$71)+SUMPRODUCT(GT_Cost_DataSheet_PY2!$AB$2:$AB$71, --(GT_Cost_DataSheet_PY2!$Q$2:$Q$71=E74), (F74="MAINT")*GT_Cost_DataSheet_PY2!$S$2:$S$71)+SUMPRODUCT(GT_Cost_DataSheet_PY2!$AB$2:$AB$71, --(GT_Cost_DataSheet_PY2!$Q$2:$Q$71=E74), (F74="DEV")*GT_Cost_DataSheet_PY2!$T$2:$T$71)+SUMPRODUCT(GT_Cost_DataSheet_PY2!$AB$2:$AB$71, --(GT_Cost_DataSheet_PY2!$Q$2:$Q$71=E74), (F74="COORD")*GT_Cost_DataSheet_PY2!$U$2:$U$71)+SUMPRODUCT(GT_Cost_DataSheet_PY2!$AB$2:$AB$71, --(GT_Cost_DataSheet_PY2!$Q$2:$Q$71=E74), (F74="SUP")*GT_Cost_DataSheet_PY2!$V$2:$V$71)</f>
        <v>0</v>
      </c>
    </row>
    <row r="75" spans="1:10" s="111" customFormat="1">
      <c r="A75" s="174">
        <v>2.5</v>
      </c>
      <c r="B75" s="117" t="s">
        <v>324</v>
      </c>
      <c r="C75" s="117" t="s">
        <v>334</v>
      </c>
      <c r="D75" s="111" t="s">
        <v>335</v>
      </c>
      <c r="E75" s="119" t="s">
        <v>426</v>
      </c>
      <c r="F75" s="187" t="s">
        <v>302</v>
      </c>
      <c r="G75" s="121" t="s">
        <v>412</v>
      </c>
      <c r="H75" s="121"/>
      <c r="I75" s="123">
        <f>SUMPRODUCT(GT_Cost_DataSheet_PY2!$X$2:$X$71, --(GT_Cost_DataSheet_PY2!$Q$2:$Q$71=E75), (F75="OPS")*GT_Cost_DataSheet_PY2!$R$2:$R$71)+
SUMPRODUCT(GT_Cost_DataSheet_PY2!$X$2:$X$71, --(GT_Cost_DataSheet_PY2!$Q$2:$Q$71=E75), (F75="MAINT")*GT_Cost_DataSheet_PY2!$S$2:$S$71)+
SUMPRODUCT(GT_Cost_DataSheet_PY2!$X$2:$X$71, --(GT_Cost_DataSheet_PY2!$Q$2:$Q$71=E75), (F75="DEV")*GT_Cost_DataSheet_PY2!$T$2:$T$71)+
SUMPRODUCT(GT_Cost_DataSheet_PY2!$X$2:$X$71, --(GT_Cost_DataSheet_PY2!$Q$2:$Q$71=E75), (F75="COORD")*GT_Cost_DataSheet_PY2!$U$2:$U$71)+
SUMPRODUCT(GT_Cost_DataSheet_PY2!$X$2:$X$71, --(GT_Cost_DataSheet_PY2!$Q$2:$Q$71=E75), (F75="SUP")*GT_Cost_DataSheet_PY2!$V$2:$V$71)</f>
        <v>9.9600000000000009</v>
      </c>
      <c r="J75" s="184">
        <f>SUMPRODUCT(GT_Cost_DataSheet_PY2!$AB$2:$AB$71, --(GT_Cost_DataSheet_PY2!$Q$2:$Q$71=E75), (F75="OPS")*GT_Cost_DataSheet_PY2!$R$2:$R$71)+SUMPRODUCT(GT_Cost_DataSheet_PY2!$AB$2:$AB$71, --(GT_Cost_DataSheet_PY2!$Q$2:$Q$71=E75), (F75="MAINT")*GT_Cost_DataSheet_PY2!$S$2:$S$71)+SUMPRODUCT(GT_Cost_DataSheet_PY2!$AB$2:$AB$71, --(GT_Cost_DataSheet_PY2!$Q$2:$Q$71=E75), (F75="DEV")*GT_Cost_DataSheet_PY2!$T$2:$T$71)+SUMPRODUCT(GT_Cost_DataSheet_PY2!$AB$2:$AB$71, --(GT_Cost_DataSheet_PY2!$Q$2:$Q$71=E75), (F75="COORD")*GT_Cost_DataSheet_PY2!$U$2:$U$71)+SUMPRODUCT(GT_Cost_DataSheet_PY2!$AB$2:$AB$71, --(GT_Cost_DataSheet_PY2!$Q$2:$Q$71=E75), (F75="SUP")*GT_Cost_DataSheet_PY2!$V$2:$V$71)</f>
        <v>67049.657339522353</v>
      </c>
    </row>
    <row r="76" spans="1:10" s="111" customFormat="1">
      <c r="A76" s="174">
        <v>2.5</v>
      </c>
      <c r="B76" s="117" t="s">
        <v>324</v>
      </c>
      <c r="C76" s="117" t="s">
        <v>334</v>
      </c>
      <c r="D76" s="111" t="s">
        <v>335</v>
      </c>
      <c r="E76" s="119" t="s">
        <v>426</v>
      </c>
      <c r="F76" s="121" t="s">
        <v>449</v>
      </c>
      <c r="G76" s="121" t="s">
        <v>493</v>
      </c>
      <c r="H76" s="121"/>
      <c r="I76" s="123">
        <f>SUMPRODUCT(GT_Cost_DataSheet_PY2!$X$2:$X$71, --(GT_Cost_DataSheet_PY2!$Q$2:$Q$71=E76), (F76="OPS")*GT_Cost_DataSheet_PY2!$R$2:$R$71)+
SUMPRODUCT(GT_Cost_DataSheet_PY2!$X$2:$X$71, --(GT_Cost_DataSheet_PY2!$Q$2:$Q$71=E76), (F76="MAINT")*GT_Cost_DataSheet_PY2!$S$2:$S$71)+
SUMPRODUCT(GT_Cost_DataSheet_PY2!$X$2:$X$71, --(GT_Cost_DataSheet_PY2!$Q$2:$Q$71=E76), (F76="DEV")*GT_Cost_DataSheet_PY2!$T$2:$T$71)+
SUMPRODUCT(GT_Cost_DataSheet_PY2!$X$2:$X$71, --(GT_Cost_DataSheet_PY2!$Q$2:$Q$71=E76), (F76="COORD")*GT_Cost_DataSheet_PY2!$U$2:$U$71)+
SUMPRODUCT(GT_Cost_DataSheet_PY2!$X$2:$X$71, --(GT_Cost_DataSheet_PY2!$Q$2:$Q$71=E76), (F76="SUP")*GT_Cost_DataSheet_PY2!$V$2:$V$71)</f>
        <v>29.880000000000003</v>
      </c>
      <c r="J76" s="184">
        <f>SUMPRODUCT(GT_Cost_DataSheet_PY2!$AB$2:$AB$71, --(GT_Cost_DataSheet_PY2!$Q$2:$Q$71=E76), (F76="OPS")*GT_Cost_DataSheet_PY2!$R$2:$R$71)+SUMPRODUCT(GT_Cost_DataSheet_PY2!$AB$2:$AB$71, --(GT_Cost_DataSheet_PY2!$Q$2:$Q$71=E76), (F76="MAINT")*GT_Cost_DataSheet_PY2!$S$2:$S$71)+SUMPRODUCT(GT_Cost_DataSheet_PY2!$AB$2:$AB$71, --(GT_Cost_DataSheet_PY2!$Q$2:$Q$71=E76), (F76="DEV")*GT_Cost_DataSheet_PY2!$T$2:$T$71)+SUMPRODUCT(GT_Cost_DataSheet_PY2!$AB$2:$AB$71, --(GT_Cost_DataSheet_PY2!$Q$2:$Q$71=E76), (F76="COORD")*GT_Cost_DataSheet_PY2!$U$2:$U$71)+SUMPRODUCT(GT_Cost_DataSheet_PY2!$AB$2:$AB$71, --(GT_Cost_DataSheet_PY2!$Q$2:$Q$71=E76), (F76="SUP")*GT_Cost_DataSheet_PY2!$V$2:$V$71)</f>
        <v>201148.97201856706</v>
      </c>
    </row>
    <row r="77" spans="1:10" s="111" customFormat="1">
      <c r="A77" s="174">
        <v>3.1</v>
      </c>
      <c r="B77" s="158" t="s">
        <v>347</v>
      </c>
      <c r="C77" s="22" t="s">
        <v>348</v>
      </c>
      <c r="D77" s="22" t="s">
        <v>352</v>
      </c>
      <c r="E77" s="159" t="s">
        <v>435</v>
      </c>
      <c r="F77" s="160" t="s">
        <v>302</v>
      </c>
      <c r="G77" s="160" t="s">
        <v>493</v>
      </c>
      <c r="H77" s="160"/>
      <c r="I77" s="161">
        <f>SUMPRODUCT(GT_Cost_DataSheet_PY2!$X$2:$X$71, --(GT_Cost_DataSheet_PY2!$Q$2:$Q$71=E77), (F77="OPS")*GT_Cost_DataSheet_PY2!$R$2:$R$71)+
SUMPRODUCT(GT_Cost_DataSheet_PY2!$X$2:$X$71, --(GT_Cost_DataSheet_PY2!$Q$2:$Q$71=E77), (F77="MAINT")*GT_Cost_DataSheet_PY2!$S$2:$S$71)+
SUMPRODUCT(GT_Cost_DataSheet_PY2!$X$2:$X$71, --(GT_Cost_DataSheet_PY2!$Q$2:$Q$71=E77), (F77="DEV")*GT_Cost_DataSheet_PY2!$T$2:$T$71)+
SUMPRODUCT(GT_Cost_DataSheet_PY2!$X$2:$X$71, --(GT_Cost_DataSheet_PY2!$Q$2:$Q$71=E77), (F77="COORD")*GT_Cost_DataSheet_PY2!$U$2:$U$71)+
SUMPRODUCT(GT_Cost_DataSheet_PY2!$X$2:$X$71, --(GT_Cost_DataSheet_PY2!$Q$2:$Q$71=E77), (F77="SUP")*GT_Cost_DataSheet_PY2!$V$2:$V$71)</f>
        <v>0</v>
      </c>
      <c r="J77" s="185">
        <f>SUMPRODUCT(GT_Cost_DataSheet_PY2!$AB$2:$AB$71, --(GT_Cost_DataSheet_PY2!$Q$2:$Q$71=E77), (F77="OPS")*GT_Cost_DataSheet_PY2!$R$2:$R$71)+SUMPRODUCT(GT_Cost_DataSheet_PY2!$AB$2:$AB$71, --(GT_Cost_DataSheet_PY2!$Q$2:$Q$71=E77), (F77="MAINT")*GT_Cost_DataSheet_PY2!$S$2:$S$71)+SUMPRODUCT(GT_Cost_DataSheet_PY2!$AB$2:$AB$71, --(GT_Cost_DataSheet_PY2!$Q$2:$Q$71=E77), (F77="DEV")*GT_Cost_DataSheet_PY2!$T$2:$T$71)+SUMPRODUCT(GT_Cost_DataSheet_PY2!$AB$2:$AB$71, --(GT_Cost_DataSheet_PY2!$Q$2:$Q$71=E77), (F77="COORD")*GT_Cost_DataSheet_PY2!$U$2:$U$71)+SUMPRODUCT(GT_Cost_DataSheet_PY2!$AB$2:$AB$71, --(GT_Cost_DataSheet_PY2!$Q$2:$Q$71=E77), (F77="SUP")*GT_Cost_DataSheet_PY2!$V$2:$V$71)</f>
        <v>0</v>
      </c>
    </row>
    <row r="78" spans="1:10" s="111" customFormat="1">
      <c r="A78" s="174">
        <v>3.1</v>
      </c>
      <c r="B78" s="158" t="s">
        <v>347</v>
      </c>
      <c r="C78" s="22" t="s">
        <v>348</v>
      </c>
      <c r="D78" s="22" t="s">
        <v>352</v>
      </c>
      <c r="E78" s="159" t="s">
        <v>435</v>
      </c>
      <c r="F78" s="160" t="s">
        <v>449</v>
      </c>
      <c r="G78" s="160" t="s">
        <v>496</v>
      </c>
      <c r="H78" s="160"/>
      <c r="I78" s="161">
        <f>SUMPRODUCT(GT_Cost_DataSheet_PY2!$X$2:$X$71, --(GT_Cost_DataSheet_PY2!$Q$2:$Q$71=E78), (F78="OPS")*GT_Cost_DataSheet_PY2!$R$2:$R$71)+
SUMPRODUCT(GT_Cost_DataSheet_PY2!$X$2:$X$71, --(GT_Cost_DataSheet_PY2!$Q$2:$Q$71=E78), (F78="MAINT")*GT_Cost_DataSheet_PY2!$S$2:$S$71)+
SUMPRODUCT(GT_Cost_DataSheet_PY2!$X$2:$X$71, --(GT_Cost_DataSheet_PY2!$Q$2:$Q$71=E78), (F78="DEV")*GT_Cost_DataSheet_PY2!$T$2:$T$71)+
SUMPRODUCT(GT_Cost_DataSheet_PY2!$X$2:$X$71, --(GT_Cost_DataSheet_PY2!$Q$2:$Q$71=E78), (F78="COORD")*GT_Cost_DataSheet_PY2!$U$2:$U$71)+
SUMPRODUCT(GT_Cost_DataSheet_PY2!$X$2:$X$71, --(GT_Cost_DataSheet_PY2!$Q$2:$Q$71=E78), (F78="SUP")*GT_Cost_DataSheet_PY2!$V$2:$V$71)</f>
        <v>0</v>
      </c>
      <c r="J78" s="185">
        <f>SUMPRODUCT(GT_Cost_DataSheet_PY2!$AB$2:$AB$71, --(GT_Cost_DataSheet_PY2!$Q$2:$Q$71=E78), (F78="OPS")*GT_Cost_DataSheet_PY2!$R$2:$R$71)+SUMPRODUCT(GT_Cost_DataSheet_PY2!$AB$2:$AB$71, --(GT_Cost_DataSheet_PY2!$Q$2:$Q$71=E78), (F78="MAINT")*GT_Cost_DataSheet_PY2!$S$2:$S$71)+SUMPRODUCT(GT_Cost_DataSheet_PY2!$AB$2:$AB$71, --(GT_Cost_DataSheet_PY2!$Q$2:$Q$71=E78), (F78="DEV")*GT_Cost_DataSheet_PY2!$T$2:$T$71)+SUMPRODUCT(GT_Cost_DataSheet_PY2!$AB$2:$AB$71, --(GT_Cost_DataSheet_PY2!$Q$2:$Q$71=E78), (F78="COORD")*GT_Cost_DataSheet_PY2!$U$2:$U$71)+SUMPRODUCT(GT_Cost_DataSheet_PY2!$AB$2:$AB$71, --(GT_Cost_DataSheet_PY2!$Q$2:$Q$71=E78), (F78="SUP")*GT_Cost_DataSheet_PY2!$V$2:$V$71)</f>
        <v>0</v>
      </c>
    </row>
    <row r="79" spans="1:10" s="111" customFormat="1">
      <c r="A79" s="174">
        <v>3.1</v>
      </c>
      <c r="B79" s="158" t="s">
        <v>347</v>
      </c>
      <c r="C79" s="22" t="s">
        <v>348</v>
      </c>
      <c r="D79" s="22" t="s">
        <v>351</v>
      </c>
      <c r="E79" s="159" t="s">
        <v>437</v>
      </c>
      <c r="F79" s="160" t="s">
        <v>302</v>
      </c>
      <c r="G79" s="160" t="s">
        <v>412</v>
      </c>
      <c r="H79" s="160"/>
      <c r="I79" s="161">
        <f>SUMPRODUCT(GT_Cost_DataSheet_PY2!$X$2:$X$71, --(GT_Cost_DataSheet_PY2!$Q$2:$Q$71=E79), (F79="OPS")*GT_Cost_DataSheet_PY2!$R$2:$R$71)+
SUMPRODUCT(GT_Cost_DataSheet_PY2!$X$2:$X$71, --(GT_Cost_DataSheet_PY2!$Q$2:$Q$71=E79), (F79="MAINT")*GT_Cost_DataSheet_PY2!$S$2:$S$71)+
SUMPRODUCT(GT_Cost_DataSheet_PY2!$X$2:$X$71, --(GT_Cost_DataSheet_PY2!$Q$2:$Q$71=E79), (F79="DEV")*GT_Cost_DataSheet_PY2!$T$2:$T$71)+
SUMPRODUCT(GT_Cost_DataSheet_PY2!$X$2:$X$71, --(GT_Cost_DataSheet_PY2!$Q$2:$Q$71=E79), (F79="COORD")*GT_Cost_DataSheet_PY2!$U$2:$U$71)+
SUMPRODUCT(GT_Cost_DataSheet_PY2!$X$2:$X$71, --(GT_Cost_DataSheet_PY2!$Q$2:$Q$71=E79), (F79="SUP")*GT_Cost_DataSheet_PY2!$V$2:$V$71)</f>
        <v>0</v>
      </c>
      <c r="J79" s="185">
        <f>SUMPRODUCT(GT_Cost_DataSheet_PY2!$AB$2:$AB$71, --(GT_Cost_DataSheet_PY2!$Q$2:$Q$71=E79), (F79="OPS")*GT_Cost_DataSheet_PY2!$R$2:$R$71)+SUMPRODUCT(GT_Cost_DataSheet_PY2!$AB$2:$AB$71, --(GT_Cost_DataSheet_PY2!$Q$2:$Q$71=E79), (F79="MAINT")*GT_Cost_DataSheet_PY2!$S$2:$S$71)+SUMPRODUCT(GT_Cost_DataSheet_PY2!$AB$2:$AB$71, --(GT_Cost_DataSheet_PY2!$Q$2:$Q$71=E79), (F79="DEV")*GT_Cost_DataSheet_PY2!$T$2:$T$71)+SUMPRODUCT(GT_Cost_DataSheet_PY2!$AB$2:$AB$71, --(GT_Cost_DataSheet_PY2!$Q$2:$Q$71=E79), (F79="COORD")*GT_Cost_DataSheet_PY2!$U$2:$U$71)+SUMPRODUCT(GT_Cost_DataSheet_PY2!$AB$2:$AB$71, --(GT_Cost_DataSheet_PY2!$Q$2:$Q$71=E79), (F79="SUP")*GT_Cost_DataSheet_PY2!$V$2:$V$71)</f>
        <v>0</v>
      </c>
    </row>
    <row r="80" spans="1:10" s="111" customFormat="1">
      <c r="A80" s="174">
        <v>3.1</v>
      </c>
      <c r="B80" s="158" t="s">
        <v>347</v>
      </c>
      <c r="C80" s="22" t="s">
        <v>348</v>
      </c>
      <c r="D80" s="22" t="s">
        <v>351</v>
      </c>
      <c r="E80" s="159" t="s">
        <v>437</v>
      </c>
      <c r="F80" s="160" t="s">
        <v>449</v>
      </c>
      <c r="G80" s="160" t="s">
        <v>493</v>
      </c>
      <c r="H80" s="160"/>
      <c r="I80" s="161">
        <f>SUMPRODUCT(GT_Cost_DataSheet_PY2!$X$2:$X$71, --(GT_Cost_DataSheet_PY2!$Q$2:$Q$71=E80), (F80="OPS")*GT_Cost_DataSheet_PY2!$R$2:$R$71)+
SUMPRODUCT(GT_Cost_DataSheet_PY2!$X$2:$X$71, --(GT_Cost_DataSheet_PY2!$Q$2:$Q$71=E80), (F80="MAINT")*GT_Cost_DataSheet_PY2!$S$2:$S$71)+
SUMPRODUCT(GT_Cost_DataSheet_PY2!$X$2:$X$71, --(GT_Cost_DataSheet_PY2!$Q$2:$Q$71=E80), (F80="DEV")*GT_Cost_DataSheet_PY2!$T$2:$T$71)+
SUMPRODUCT(GT_Cost_DataSheet_PY2!$X$2:$X$71, --(GT_Cost_DataSheet_PY2!$Q$2:$Q$71=E80), (F80="COORD")*GT_Cost_DataSheet_PY2!$U$2:$U$71)+
SUMPRODUCT(GT_Cost_DataSheet_PY2!$X$2:$X$71, --(GT_Cost_DataSheet_PY2!$Q$2:$Q$71=E80), (F80="SUP")*GT_Cost_DataSheet_PY2!$V$2:$V$71)</f>
        <v>0</v>
      </c>
      <c r="J80" s="185">
        <f>SUMPRODUCT(GT_Cost_DataSheet_PY2!$AB$2:$AB$71, --(GT_Cost_DataSheet_PY2!$Q$2:$Q$71=E80), (F80="OPS")*GT_Cost_DataSheet_PY2!$R$2:$R$71)+SUMPRODUCT(GT_Cost_DataSheet_PY2!$AB$2:$AB$71, --(GT_Cost_DataSheet_PY2!$Q$2:$Q$71=E80), (F80="MAINT")*GT_Cost_DataSheet_PY2!$S$2:$S$71)+SUMPRODUCT(GT_Cost_DataSheet_PY2!$AB$2:$AB$71, --(GT_Cost_DataSheet_PY2!$Q$2:$Q$71=E80), (F80="DEV")*GT_Cost_DataSheet_PY2!$T$2:$T$71)+SUMPRODUCT(GT_Cost_DataSheet_PY2!$AB$2:$AB$71, --(GT_Cost_DataSheet_PY2!$Q$2:$Q$71=E80), (F80="COORD")*GT_Cost_DataSheet_PY2!$U$2:$U$71)+SUMPRODUCT(GT_Cost_DataSheet_PY2!$AB$2:$AB$71, --(GT_Cost_DataSheet_PY2!$Q$2:$Q$71=E80), (F80="SUP")*GT_Cost_DataSheet_PY2!$V$2:$V$71)</f>
        <v>0</v>
      </c>
    </row>
    <row r="81" spans="1:10" s="111" customFormat="1">
      <c r="A81" s="174">
        <v>3.1</v>
      </c>
      <c r="B81" s="158" t="s">
        <v>347</v>
      </c>
      <c r="C81" s="22" t="s">
        <v>348</v>
      </c>
      <c r="D81" s="22" t="s">
        <v>349</v>
      </c>
      <c r="E81" s="159" t="s">
        <v>433</v>
      </c>
      <c r="F81" s="160" t="s">
        <v>302</v>
      </c>
      <c r="G81" s="160" t="s">
        <v>493</v>
      </c>
      <c r="H81" s="160"/>
      <c r="I81" s="161">
        <f>SUMPRODUCT(GT_Cost_DataSheet_PY2!$X$2:$X$71, --(GT_Cost_DataSheet_PY2!$Q$2:$Q$71=E81), (F81="OPS")*GT_Cost_DataSheet_PY2!$R$2:$R$71)+
SUMPRODUCT(GT_Cost_DataSheet_PY2!$X$2:$X$71, --(GT_Cost_DataSheet_PY2!$Q$2:$Q$71=E81), (F81="MAINT")*GT_Cost_DataSheet_PY2!$S$2:$S$71)+
SUMPRODUCT(GT_Cost_DataSheet_PY2!$X$2:$X$71, --(GT_Cost_DataSheet_PY2!$Q$2:$Q$71=E81), (F81="DEV")*GT_Cost_DataSheet_PY2!$T$2:$T$71)+
SUMPRODUCT(GT_Cost_DataSheet_PY2!$X$2:$X$71, --(GT_Cost_DataSheet_PY2!$Q$2:$Q$71=E81), (F81="COORD")*GT_Cost_DataSheet_PY2!$U$2:$U$71)+
SUMPRODUCT(GT_Cost_DataSheet_PY2!$X$2:$X$71, --(GT_Cost_DataSheet_PY2!$Q$2:$Q$71=E81), (F81="SUP")*GT_Cost_DataSheet_PY2!$V$2:$V$71)</f>
        <v>0</v>
      </c>
      <c r="J81" s="185">
        <f>SUMPRODUCT(GT_Cost_DataSheet_PY2!$AB$2:$AB$71, --(GT_Cost_DataSheet_PY2!$Q$2:$Q$71=E81), (F81="OPS")*GT_Cost_DataSheet_PY2!$R$2:$R$71)+SUMPRODUCT(GT_Cost_DataSheet_PY2!$AB$2:$AB$71, --(GT_Cost_DataSheet_PY2!$Q$2:$Q$71=E81), (F81="MAINT")*GT_Cost_DataSheet_PY2!$S$2:$S$71)+SUMPRODUCT(GT_Cost_DataSheet_PY2!$AB$2:$AB$71, --(GT_Cost_DataSheet_PY2!$Q$2:$Q$71=E81), (F81="DEV")*GT_Cost_DataSheet_PY2!$T$2:$T$71)+SUMPRODUCT(GT_Cost_DataSheet_PY2!$AB$2:$AB$71, --(GT_Cost_DataSheet_PY2!$Q$2:$Q$71=E81), (F81="COORD")*GT_Cost_DataSheet_PY2!$U$2:$U$71)+SUMPRODUCT(GT_Cost_DataSheet_PY2!$AB$2:$AB$71, --(GT_Cost_DataSheet_PY2!$Q$2:$Q$71=E81), (F81="SUP")*GT_Cost_DataSheet_PY2!$V$2:$V$71)</f>
        <v>0</v>
      </c>
    </row>
    <row r="82" spans="1:10" s="111" customFormat="1">
      <c r="A82" s="174">
        <v>3.1</v>
      </c>
      <c r="B82" s="158" t="s">
        <v>347</v>
      </c>
      <c r="C82" s="22" t="s">
        <v>348</v>
      </c>
      <c r="D82" s="22" t="s">
        <v>349</v>
      </c>
      <c r="E82" s="159" t="s">
        <v>433</v>
      </c>
      <c r="F82" s="160" t="s">
        <v>449</v>
      </c>
      <c r="G82" s="160" t="s">
        <v>493</v>
      </c>
      <c r="H82" s="160"/>
      <c r="I82" s="161">
        <f>SUMPRODUCT(GT_Cost_DataSheet_PY2!$X$2:$X$71, --(GT_Cost_DataSheet_PY2!$Q$2:$Q$71=E82), (F82="OPS")*GT_Cost_DataSheet_PY2!$R$2:$R$71)+
SUMPRODUCT(GT_Cost_DataSheet_PY2!$X$2:$X$71, --(GT_Cost_DataSheet_PY2!$Q$2:$Q$71=E82), (F82="MAINT")*GT_Cost_DataSheet_PY2!$S$2:$S$71)+
SUMPRODUCT(GT_Cost_DataSheet_PY2!$X$2:$X$71, --(GT_Cost_DataSheet_PY2!$Q$2:$Q$71=E82), (F82="DEV")*GT_Cost_DataSheet_PY2!$T$2:$T$71)+
SUMPRODUCT(GT_Cost_DataSheet_PY2!$X$2:$X$71, --(GT_Cost_DataSheet_PY2!$Q$2:$Q$71=E82), (F82="COORD")*GT_Cost_DataSheet_PY2!$U$2:$U$71)+
SUMPRODUCT(GT_Cost_DataSheet_PY2!$X$2:$X$71, --(GT_Cost_DataSheet_PY2!$Q$2:$Q$71=E82), (F82="SUP")*GT_Cost_DataSheet_PY2!$V$2:$V$71)</f>
        <v>0</v>
      </c>
      <c r="J82" s="185">
        <f>SUMPRODUCT(GT_Cost_DataSheet_PY2!$AB$2:$AB$71, --(GT_Cost_DataSheet_PY2!$Q$2:$Q$71=E82), (F82="OPS")*GT_Cost_DataSheet_PY2!$R$2:$R$71)+SUMPRODUCT(GT_Cost_DataSheet_PY2!$AB$2:$AB$71, --(GT_Cost_DataSheet_PY2!$Q$2:$Q$71=E82), (F82="MAINT")*GT_Cost_DataSheet_PY2!$S$2:$S$71)+SUMPRODUCT(GT_Cost_DataSheet_PY2!$AB$2:$AB$71, --(GT_Cost_DataSheet_PY2!$Q$2:$Q$71=E82), (F82="DEV")*GT_Cost_DataSheet_PY2!$T$2:$T$71)+SUMPRODUCT(GT_Cost_DataSheet_PY2!$AB$2:$AB$71, --(GT_Cost_DataSheet_PY2!$Q$2:$Q$71=E82), (F82="COORD")*GT_Cost_DataSheet_PY2!$U$2:$U$71)+SUMPRODUCT(GT_Cost_DataSheet_PY2!$AB$2:$AB$71, --(GT_Cost_DataSheet_PY2!$Q$2:$Q$71=E82), (F82="SUP")*GT_Cost_DataSheet_PY2!$V$2:$V$71)</f>
        <v>0</v>
      </c>
    </row>
    <row r="83" spans="1:10" s="111" customFormat="1">
      <c r="A83" s="174">
        <v>3.1</v>
      </c>
      <c r="B83" s="158" t="s">
        <v>347</v>
      </c>
      <c r="C83" s="22" t="s">
        <v>348</v>
      </c>
      <c r="D83" s="22" t="s">
        <v>350</v>
      </c>
      <c r="E83" s="159" t="s">
        <v>434</v>
      </c>
      <c r="F83" s="160" t="s">
        <v>302</v>
      </c>
      <c r="G83" s="160" t="s">
        <v>412</v>
      </c>
      <c r="H83" s="160"/>
      <c r="I83" s="161">
        <f>SUMPRODUCT(GT_Cost_DataSheet_PY2!$X$2:$X$71, --(GT_Cost_DataSheet_PY2!$Q$2:$Q$71=E83), (F83="OPS")*GT_Cost_DataSheet_PY2!$R$2:$R$71)+
SUMPRODUCT(GT_Cost_DataSheet_PY2!$X$2:$X$71, --(GT_Cost_DataSheet_PY2!$Q$2:$Q$71=E83), (F83="MAINT")*GT_Cost_DataSheet_PY2!$S$2:$S$71)+
SUMPRODUCT(GT_Cost_DataSheet_PY2!$X$2:$X$71, --(GT_Cost_DataSheet_PY2!$Q$2:$Q$71=E83), (F83="DEV")*GT_Cost_DataSheet_PY2!$T$2:$T$71)+
SUMPRODUCT(GT_Cost_DataSheet_PY2!$X$2:$X$71, --(GT_Cost_DataSheet_PY2!$Q$2:$Q$71=E83), (F83="COORD")*GT_Cost_DataSheet_PY2!$U$2:$U$71)+
SUMPRODUCT(GT_Cost_DataSheet_PY2!$X$2:$X$71, --(GT_Cost_DataSheet_PY2!$Q$2:$Q$71=E83), (F83="SUP")*GT_Cost_DataSheet_PY2!$V$2:$V$71)</f>
        <v>0</v>
      </c>
      <c r="J83" s="185">
        <f>SUMPRODUCT(GT_Cost_DataSheet_PY2!$AB$2:$AB$71, --(GT_Cost_DataSheet_PY2!$Q$2:$Q$71=E83), (F83="OPS")*GT_Cost_DataSheet_PY2!$R$2:$R$71)+SUMPRODUCT(GT_Cost_DataSheet_PY2!$AB$2:$AB$71, --(GT_Cost_DataSheet_PY2!$Q$2:$Q$71=E83), (F83="MAINT")*GT_Cost_DataSheet_PY2!$S$2:$S$71)+SUMPRODUCT(GT_Cost_DataSheet_PY2!$AB$2:$AB$71, --(GT_Cost_DataSheet_PY2!$Q$2:$Q$71=E83), (F83="DEV")*GT_Cost_DataSheet_PY2!$T$2:$T$71)+SUMPRODUCT(GT_Cost_DataSheet_PY2!$AB$2:$AB$71, --(GT_Cost_DataSheet_PY2!$Q$2:$Q$71=E83), (F83="COORD")*GT_Cost_DataSheet_PY2!$U$2:$U$71)+SUMPRODUCT(GT_Cost_DataSheet_PY2!$AB$2:$AB$71, --(GT_Cost_DataSheet_PY2!$Q$2:$Q$71=E83), (F83="SUP")*GT_Cost_DataSheet_PY2!$V$2:$V$71)</f>
        <v>0</v>
      </c>
    </row>
    <row r="84" spans="1:10" s="111" customFormat="1">
      <c r="A84" s="174">
        <v>3.1</v>
      </c>
      <c r="B84" s="158" t="s">
        <v>347</v>
      </c>
      <c r="C84" s="22" t="s">
        <v>348</v>
      </c>
      <c r="D84" s="22" t="s">
        <v>350</v>
      </c>
      <c r="E84" s="159" t="s">
        <v>434</v>
      </c>
      <c r="F84" s="160" t="s">
        <v>449</v>
      </c>
      <c r="G84" s="160" t="s">
        <v>493</v>
      </c>
      <c r="H84" s="160"/>
      <c r="I84" s="161">
        <f>SUMPRODUCT(GT_Cost_DataSheet_PY2!$X$2:$X$71, --(GT_Cost_DataSheet_PY2!$Q$2:$Q$71=E84), (F84="OPS")*GT_Cost_DataSheet_PY2!$R$2:$R$71)+
SUMPRODUCT(GT_Cost_DataSheet_PY2!$X$2:$X$71, --(GT_Cost_DataSheet_PY2!$Q$2:$Q$71=E84), (F84="MAINT")*GT_Cost_DataSheet_PY2!$S$2:$S$71)+
SUMPRODUCT(GT_Cost_DataSheet_PY2!$X$2:$X$71, --(GT_Cost_DataSheet_PY2!$Q$2:$Q$71=E84), (F84="DEV")*GT_Cost_DataSheet_PY2!$T$2:$T$71)+
SUMPRODUCT(GT_Cost_DataSheet_PY2!$X$2:$X$71, --(GT_Cost_DataSheet_PY2!$Q$2:$Q$71=E84), (F84="COORD")*GT_Cost_DataSheet_PY2!$U$2:$U$71)+
SUMPRODUCT(GT_Cost_DataSheet_PY2!$X$2:$X$71, --(GT_Cost_DataSheet_PY2!$Q$2:$Q$71=E84), (F84="SUP")*GT_Cost_DataSheet_PY2!$V$2:$V$71)</f>
        <v>0</v>
      </c>
      <c r="J84" s="185">
        <f>SUMPRODUCT(GT_Cost_DataSheet_PY2!$AB$2:$AB$71, --(GT_Cost_DataSheet_PY2!$Q$2:$Q$71=E84), (F84="OPS")*GT_Cost_DataSheet_PY2!$R$2:$R$71)+SUMPRODUCT(GT_Cost_DataSheet_PY2!$AB$2:$AB$71, --(GT_Cost_DataSheet_PY2!$Q$2:$Q$71=E84), (F84="MAINT")*GT_Cost_DataSheet_PY2!$S$2:$S$71)+SUMPRODUCT(GT_Cost_DataSheet_PY2!$AB$2:$AB$71, --(GT_Cost_DataSheet_PY2!$Q$2:$Q$71=E84), (F84="DEV")*GT_Cost_DataSheet_PY2!$T$2:$T$71)+SUMPRODUCT(GT_Cost_DataSheet_PY2!$AB$2:$AB$71, --(GT_Cost_DataSheet_PY2!$Q$2:$Q$71=E84), (F84="COORD")*GT_Cost_DataSheet_PY2!$U$2:$U$71)+SUMPRODUCT(GT_Cost_DataSheet_PY2!$AB$2:$AB$71, --(GT_Cost_DataSheet_PY2!$Q$2:$Q$71=E84), (F84="SUP")*GT_Cost_DataSheet_PY2!$V$2:$V$71)</f>
        <v>0</v>
      </c>
    </row>
    <row r="85" spans="1:10" s="111" customFormat="1">
      <c r="A85" s="174">
        <v>3.2</v>
      </c>
      <c r="B85" s="158" t="s">
        <v>347</v>
      </c>
      <c r="C85" s="22" t="s">
        <v>353</v>
      </c>
      <c r="D85" s="22" t="s">
        <v>460</v>
      </c>
      <c r="E85" s="159" t="s">
        <v>461</v>
      </c>
      <c r="F85" s="160" t="s">
        <v>302</v>
      </c>
      <c r="G85" s="160" t="s">
        <v>493</v>
      </c>
      <c r="H85" s="160"/>
      <c r="I85" s="161">
        <f>SUMPRODUCT(GT_Cost_DataSheet_PY2!$X$2:$X$71, --(GT_Cost_DataSheet_PY2!$Q$2:$Q$71=E85), (F85="OPS")*GT_Cost_DataSheet_PY2!$R$2:$R$71)+
SUMPRODUCT(GT_Cost_DataSheet_PY2!$X$2:$X$71, --(GT_Cost_DataSheet_PY2!$Q$2:$Q$71=E85), (F85="MAINT")*GT_Cost_DataSheet_PY2!$S$2:$S$71)+
SUMPRODUCT(GT_Cost_DataSheet_PY2!$X$2:$X$71, --(GT_Cost_DataSheet_PY2!$Q$2:$Q$71=E85), (F85="DEV")*GT_Cost_DataSheet_PY2!$T$2:$T$71)+
SUMPRODUCT(GT_Cost_DataSheet_PY2!$X$2:$X$71, --(GT_Cost_DataSheet_PY2!$Q$2:$Q$71=E85), (F85="COORD")*GT_Cost_DataSheet_PY2!$U$2:$U$71)+
SUMPRODUCT(GT_Cost_DataSheet_PY2!$X$2:$X$71, --(GT_Cost_DataSheet_PY2!$Q$2:$Q$71=E85), (F85="SUP")*GT_Cost_DataSheet_PY2!$V$2:$V$71)</f>
        <v>0</v>
      </c>
      <c r="J85" s="185">
        <f>SUMPRODUCT(GT_Cost_DataSheet_PY2!$AB$2:$AB$71, --(GT_Cost_DataSheet_PY2!$Q$2:$Q$71=E85), (F85="OPS")*GT_Cost_DataSheet_PY2!$R$2:$R$71)+SUMPRODUCT(GT_Cost_DataSheet_PY2!$AB$2:$AB$71, --(GT_Cost_DataSheet_PY2!$Q$2:$Q$71=E85), (F85="MAINT")*GT_Cost_DataSheet_PY2!$S$2:$S$71)+SUMPRODUCT(GT_Cost_DataSheet_PY2!$AB$2:$AB$71, --(GT_Cost_DataSheet_PY2!$Q$2:$Q$71=E85), (F85="DEV")*GT_Cost_DataSheet_PY2!$T$2:$T$71)+SUMPRODUCT(GT_Cost_DataSheet_PY2!$AB$2:$AB$71, --(GT_Cost_DataSheet_PY2!$Q$2:$Q$71=E85), (F85="COORD")*GT_Cost_DataSheet_PY2!$U$2:$U$71)+SUMPRODUCT(GT_Cost_DataSheet_PY2!$AB$2:$AB$71, --(GT_Cost_DataSheet_PY2!$Q$2:$Q$71=E85), (F85="SUP")*GT_Cost_DataSheet_PY2!$V$2:$V$71)</f>
        <v>0</v>
      </c>
    </row>
    <row r="86" spans="1:10" s="111" customFormat="1">
      <c r="A86" s="174">
        <v>3.2</v>
      </c>
      <c r="B86" s="158" t="s">
        <v>347</v>
      </c>
      <c r="C86" s="22" t="s">
        <v>353</v>
      </c>
      <c r="D86" s="22" t="s">
        <v>460</v>
      </c>
      <c r="E86" s="159" t="s">
        <v>461</v>
      </c>
      <c r="F86" s="160" t="s">
        <v>449</v>
      </c>
      <c r="G86" s="160" t="s">
        <v>496</v>
      </c>
      <c r="H86" s="160"/>
      <c r="I86" s="161">
        <f>SUMPRODUCT(GT_Cost_DataSheet_PY2!$X$2:$X$71, --(GT_Cost_DataSheet_PY2!$Q$2:$Q$71=E86), (F86="OPS")*GT_Cost_DataSheet_PY2!$R$2:$R$71)+
SUMPRODUCT(GT_Cost_DataSheet_PY2!$X$2:$X$71, --(GT_Cost_DataSheet_PY2!$Q$2:$Q$71=E86), (F86="MAINT")*GT_Cost_DataSheet_PY2!$S$2:$S$71)+
SUMPRODUCT(GT_Cost_DataSheet_PY2!$X$2:$X$71, --(GT_Cost_DataSheet_PY2!$Q$2:$Q$71=E86), (F86="DEV")*GT_Cost_DataSheet_PY2!$T$2:$T$71)+
SUMPRODUCT(GT_Cost_DataSheet_PY2!$X$2:$X$71, --(GT_Cost_DataSheet_PY2!$Q$2:$Q$71=E86), (F86="COORD")*GT_Cost_DataSheet_PY2!$U$2:$U$71)+
SUMPRODUCT(GT_Cost_DataSheet_PY2!$X$2:$X$71, --(GT_Cost_DataSheet_PY2!$Q$2:$Q$71=E86), (F86="SUP")*GT_Cost_DataSheet_PY2!$V$2:$V$71)</f>
        <v>0</v>
      </c>
      <c r="J86" s="185">
        <f>SUMPRODUCT(GT_Cost_DataSheet_PY2!$AB$2:$AB$71, --(GT_Cost_DataSheet_PY2!$Q$2:$Q$71=E86), (F86="OPS")*GT_Cost_DataSheet_PY2!$R$2:$R$71)+SUMPRODUCT(GT_Cost_DataSheet_PY2!$AB$2:$AB$71, --(GT_Cost_DataSheet_PY2!$Q$2:$Q$71=E86), (F86="MAINT")*GT_Cost_DataSheet_PY2!$S$2:$S$71)+SUMPRODUCT(GT_Cost_DataSheet_PY2!$AB$2:$AB$71, --(GT_Cost_DataSheet_PY2!$Q$2:$Q$71=E86), (F86="DEV")*GT_Cost_DataSheet_PY2!$T$2:$T$71)+SUMPRODUCT(GT_Cost_DataSheet_PY2!$AB$2:$AB$71, --(GT_Cost_DataSheet_PY2!$Q$2:$Q$71=E86), (F86="COORD")*GT_Cost_DataSheet_PY2!$U$2:$U$71)+SUMPRODUCT(GT_Cost_DataSheet_PY2!$AB$2:$AB$71, --(GT_Cost_DataSheet_PY2!$Q$2:$Q$71=E86), (F86="SUP")*GT_Cost_DataSheet_PY2!$V$2:$V$71)</f>
        <v>0</v>
      </c>
    </row>
    <row r="87" spans="1:10" s="111" customFormat="1">
      <c r="A87" s="174">
        <v>3.2</v>
      </c>
      <c r="B87" s="158" t="s">
        <v>347</v>
      </c>
      <c r="C87" s="22" t="s">
        <v>353</v>
      </c>
      <c r="D87" s="22" t="s">
        <v>291</v>
      </c>
      <c r="E87" s="159" t="s">
        <v>291</v>
      </c>
      <c r="F87" s="160" t="s">
        <v>302</v>
      </c>
      <c r="G87" s="160" t="s">
        <v>496</v>
      </c>
      <c r="H87" s="160"/>
      <c r="I87" s="161">
        <f>SUMPRODUCT(GT_Cost_DataSheet_PY2!$X$2:$X$71, --(GT_Cost_DataSheet_PY2!$Q$2:$Q$71=E87), (F87="OPS")*GT_Cost_DataSheet_PY2!$R$2:$R$71)+
SUMPRODUCT(GT_Cost_DataSheet_PY2!$X$2:$X$71, --(GT_Cost_DataSheet_PY2!$Q$2:$Q$71=E87), (F87="MAINT")*GT_Cost_DataSheet_PY2!$S$2:$S$71)+
SUMPRODUCT(GT_Cost_DataSheet_PY2!$X$2:$X$71, --(GT_Cost_DataSheet_PY2!$Q$2:$Q$71=E87), (F87="DEV")*GT_Cost_DataSheet_PY2!$T$2:$T$71)+
SUMPRODUCT(GT_Cost_DataSheet_PY2!$X$2:$X$71, --(GT_Cost_DataSheet_PY2!$Q$2:$Q$71=E87), (F87="COORD")*GT_Cost_DataSheet_PY2!$U$2:$U$71)+
SUMPRODUCT(GT_Cost_DataSheet_PY2!$X$2:$X$71, --(GT_Cost_DataSheet_PY2!$Q$2:$Q$71=E87), (F87="SUP")*GT_Cost_DataSheet_PY2!$V$2:$V$71)</f>
        <v>0</v>
      </c>
      <c r="J87" s="185">
        <f>SUMPRODUCT(GT_Cost_DataSheet_PY2!$AB$2:$AB$71, --(GT_Cost_DataSheet_PY2!$Q$2:$Q$71=E87), (F87="OPS")*GT_Cost_DataSheet_PY2!$R$2:$R$71)+SUMPRODUCT(GT_Cost_DataSheet_PY2!$AB$2:$AB$71, --(GT_Cost_DataSheet_PY2!$Q$2:$Q$71=E87), (F87="MAINT")*GT_Cost_DataSheet_PY2!$S$2:$S$71)+SUMPRODUCT(GT_Cost_DataSheet_PY2!$AB$2:$AB$71, --(GT_Cost_DataSheet_PY2!$Q$2:$Q$71=E87), (F87="DEV")*GT_Cost_DataSheet_PY2!$T$2:$T$71)+SUMPRODUCT(GT_Cost_DataSheet_PY2!$AB$2:$AB$71, --(GT_Cost_DataSheet_PY2!$Q$2:$Q$71=E87), (F87="COORD")*GT_Cost_DataSheet_PY2!$U$2:$U$71)+SUMPRODUCT(GT_Cost_DataSheet_PY2!$AB$2:$AB$71, --(GT_Cost_DataSheet_PY2!$Q$2:$Q$71=E87), (F87="SUP")*GT_Cost_DataSheet_PY2!$V$2:$V$71)</f>
        <v>0</v>
      </c>
    </row>
    <row r="88" spans="1:10" s="111" customFormat="1">
      <c r="A88" s="174">
        <v>3.2</v>
      </c>
      <c r="B88" s="158" t="s">
        <v>347</v>
      </c>
      <c r="C88" s="22" t="s">
        <v>353</v>
      </c>
      <c r="D88" s="22" t="s">
        <v>291</v>
      </c>
      <c r="E88" s="159" t="s">
        <v>291</v>
      </c>
      <c r="F88" s="160" t="s">
        <v>449</v>
      </c>
      <c r="G88" s="160" t="s">
        <v>496</v>
      </c>
      <c r="H88" s="160"/>
      <c r="I88" s="161">
        <f>SUMPRODUCT(GT_Cost_DataSheet_PY2!$X$2:$X$71, --(GT_Cost_DataSheet_PY2!$Q$2:$Q$71=E88), (F88="OPS")*GT_Cost_DataSheet_PY2!$R$2:$R$71)+
SUMPRODUCT(GT_Cost_DataSheet_PY2!$X$2:$X$71, --(GT_Cost_DataSheet_PY2!$Q$2:$Q$71=E88), (F88="MAINT")*GT_Cost_DataSheet_PY2!$S$2:$S$71)+
SUMPRODUCT(GT_Cost_DataSheet_PY2!$X$2:$X$71, --(GT_Cost_DataSheet_PY2!$Q$2:$Q$71=E88), (F88="DEV")*GT_Cost_DataSheet_PY2!$T$2:$T$71)+
SUMPRODUCT(GT_Cost_DataSheet_PY2!$X$2:$X$71, --(GT_Cost_DataSheet_PY2!$Q$2:$Q$71=E88), (F88="COORD")*GT_Cost_DataSheet_PY2!$U$2:$U$71)+
SUMPRODUCT(GT_Cost_DataSheet_PY2!$X$2:$X$71, --(GT_Cost_DataSheet_PY2!$Q$2:$Q$71=E88), (F88="SUP")*GT_Cost_DataSheet_PY2!$V$2:$V$71)</f>
        <v>0</v>
      </c>
      <c r="J88" s="185">
        <f>SUMPRODUCT(GT_Cost_DataSheet_PY2!$AB$2:$AB$71, --(GT_Cost_DataSheet_PY2!$Q$2:$Q$71=E88), (F88="OPS")*GT_Cost_DataSheet_PY2!$R$2:$R$71)+SUMPRODUCT(GT_Cost_DataSheet_PY2!$AB$2:$AB$71, --(GT_Cost_DataSheet_PY2!$Q$2:$Q$71=E88), (F88="MAINT")*GT_Cost_DataSheet_PY2!$S$2:$S$71)+SUMPRODUCT(GT_Cost_DataSheet_PY2!$AB$2:$AB$71, --(GT_Cost_DataSheet_PY2!$Q$2:$Q$71=E88), (F88="DEV")*GT_Cost_DataSheet_PY2!$T$2:$T$71)+SUMPRODUCT(GT_Cost_DataSheet_PY2!$AB$2:$AB$71, --(GT_Cost_DataSheet_PY2!$Q$2:$Q$71=E88), (F88="COORD")*GT_Cost_DataSheet_PY2!$U$2:$U$71)+SUMPRODUCT(GT_Cost_DataSheet_PY2!$AB$2:$AB$71, --(GT_Cost_DataSheet_PY2!$Q$2:$Q$71=E88), (F88="SUP")*GT_Cost_DataSheet_PY2!$V$2:$V$71)</f>
        <v>0</v>
      </c>
    </row>
    <row r="89" spans="1:10" s="111" customFormat="1">
      <c r="A89" s="174">
        <v>3.2</v>
      </c>
      <c r="B89" s="158" t="s">
        <v>347</v>
      </c>
      <c r="C89" s="22" t="s">
        <v>353</v>
      </c>
      <c r="D89" s="22" t="s">
        <v>351</v>
      </c>
      <c r="E89" s="159" t="s">
        <v>438</v>
      </c>
      <c r="F89" s="160" t="s">
        <v>302</v>
      </c>
      <c r="G89" s="160" t="s">
        <v>493</v>
      </c>
      <c r="H89" s="160"/>
      <c r="I89" s="161">
        <f>SUMPRODUCT(GT_Cost_DataSheet_PY2!$X$2:$X$71, --(GT_Cost_DataSheet_PY2!$Q$2:$Q$71=E89), (F89="OPS")*GT_Cost_DataSheet_PY2!$R$2:$R$71)+
SUMPRODUCT(GT_Cost_DataSheet_PY2!$X$2:$X$71, --(GT_Cost_DataSheet_PY2!$Q$2:$Q$71=E89), (F89="MAINT")*GT_Cost_DataSheet_PY2!$S$2:$S$71)+
SUMPRODUCT(GT_Cost_DataSheet_PY2!$X$2:$X$71, --(GT_Cost_DataSheet_PY2!$Q$2:$Q$71=E89), (F89="DEV")*GT_Cost_DataSheet_PY2!$T$2:$T$71)+
SUMPRODUCT(GT_Cost_DataSheet_PY2!$X$2:$X$71, --(GT_Cost_DataSheet_PY2!$Q$2:$Q$71=E89), (F89="COORD")*GT_Cost_DataSheet_PY2!$U$2:$U$71)+
SUMPRODUCT(GT_Cost_DataSheet_PY2!$X$2:$X$71, --(GT_Cost_DataSheet_PY2!$Q$2:$Q$71=E89), (F89="SUP")*GT_Cost_DataSheet_PY2!$V$2:$V$71)</f>
        <v>0</v>
      </c>
      <c r="J89" s="185">
        <f>SUMPRODUCT(GT_Cost_DataSheet_PY2!$AB$2:$AB$71, --(GT_Cost_DataSheet_PY2!$Q$2:$Q$71=E89), (F89="OPS")*GT_Cost_DataSheet_PY2!$R$2:$R$71)+SUMPRODUCT(GT_Cost_DataSheet_PY2!$AB$2:$AB$71, --(GT_Cost_DataSheet_PY2!$Q$2:$Q$71=E89), (F89="MAINT")*GT_Cost_DataSheet_PY2!$S$2:$S$71)+SUMPRODUCT(GT_Cost_DataSheet_PY2!$AB$2:$AB$71, --(GT_Cost_DataSheet_PY2!$Q$2:$Q$71=E89), (F89="DEV")*GT_Cost_DataSheet_PY2!$T$2:$T$71)+SUMPRODUCT(GT_Cost_DataSheet_PY2!$AB$2:$AB$71, --(GT_Cost_DataSheet_PY2!$Q$2:$Q$71=E89), (F89="COORD")*GT_Cost_DataSheet_PY2!$U$2:$U$71)+SUMPRODUCT(GT_Cost_DataSheet_PY2!$AB$2:$AB$71, --(GT_Cost_DataSheet_PY2!$Q$2:$Q$71=E89), (F89="SUP")*GT_Cost_DataSheet_PY2!$V$2:$V$71)</f>
        <v>0</v>
      </c>
    </row>
    <row r="90" spans="1:10" s="111" customFormat="1">
      <c r="A90" s="174">
        <v>3.2</v>
      </c>
      <c r="B90" s="158" t="s">
        <v>347</v>
      </c>
      <c r="C90" s="22" t="s">
        <v>353</v>
      </c>
      <c r="D90" s="22" t="s">
        <v>351</v>
      </c>
      <c r="E90" s="159" t="s">
        <v>438</v>
      </c>
      <c r="F90" s="160" t="s">
        <v>449</v>
      </c>
      <c r="G90" s="160" t="s">
        <v>496</v>
      </c>
      <c r="H90" s="160"/>
      <c r="I90" s="161">
        <f>SUMPRODUCT(GT_Cost_DataSheet_PY2!$X$2:$X$71, --(GT_Cost_DataSheet_PY2!$Q$2:$Q$71=E90), (F90="OPS")*GT_Cost_DataSheet_PY2!$R$2:$R$71)+
SUMPRODUCT(GT_Cost_DataSheet_PY2!$X$2:$X$71, --(GT_Cost_DataSheet_PY2!$Q$2:$Q$71=E90), (F90="MAINT")*GT_Cost_DataSheet_PY2!$S$2:$S$71)+
SUMPRODUCT(GT_Cost_DataSheet_PY2!$X$2:$X$71, --(GT_Cost_DataSheet_PY2!$Q$2:$Q$71=E90), (F90="DEV")*GT_Cost_DataSheet_PY2!$T$2:$T$71)+
SUMPRODUCT(GT_Cost_DataSheet_PY2!$X$2:$X$71, --(GT_Cost_DataSheet_PY2!$Q$2:$Q$71=E90), (F90="COORD")*GT_Cost_DataSheet_PY2!$U$2:$U$71)+
SUMPRODUCT(GT_Cost_DataSheet_PY2!$X$2:$X$71, --(GT_Cost_DataSheet_PY2!$Q$2:$Q$71=E90), (F90="SUP")*GT_Cost_DataSheet_PY2!$V$2:$V$71)</f>
        <v>0</v>
      </c>
      <c r="J90" s="185">
        <f>SUMPRODUCT(GT_Cost_DataSheet_PY2!$AB$2:$AB$71, --(GT_Cost_DataSheet_PY2!$Q$2:$Q$71=E90), (F90="OPS")*GT_Cost_DataSheet_PY2!$R$2:$R$71)+SUMPRODUCT(GT_Cost_DataSheet_PY2!$AB$2:$AB$71, --(GT_Cost_DataSheet_PY2!$Q$2:$Q$71=E90), (F90="MAINT")*GT_Cost_DataSheet_PY2!$S$2:$S$71)+SUMPRODUCT(GT_Cost_DataSheet_PY2!$AB$2:$AB$71, --(GT_Cost_DataSheet_PY2!$Q$2:$Q$71=E90), (F90="DEV")*GT_Cost_DataSheet_PY2!$T$2:$T$71)+SUMPRODUCT(GT_Cost_DataSheet_PY2!$AB$2:$AB$71, --(GT_Cost_DataSheet_PY2!$Q$2:$Q$71=E90), (F90="COORD")*GT_Cost_DataSheet_PY2!$U$2:$U$71)+SUMPRODUCT(GT_Cost_DataSheet_PY2!$AB$2:$AB$71, --(GT_Cost_DataSheet_PY2!$Q$2:$Q$71=E90), (F90="SUP")*GT_Cost_DataSheet_PY2!$V$2:$V$71)</f>
        <v>0</v>
      </c>
    </row>
    <row r="91" spans="1:10" s="111" customFormat="1">
      <c r="A91" s="174">
        <v>3.2</v>
      </c>
      <c r="B91" s="158" t="s">
        <v>347</v>
      </c>
      <c r="C91" s="22" t="s">
        <v>353</v>
      </c>
      <c r="D91" s="22" t="s">
        <v>354</v>
      </c>
      <c r="E91" s="159" t="s">
        <v>436</v>
      </c>
      <c r="F91" s="160" t="s">
        <v>302</v>
      </c>
      <c r="G91" s="160" t="s">
        <v>493</v>
      </c>
      <c r="H91" s="160"/>
      <c r="I91" s="161">
        <f>SUMPRODUCT(GT_Cost_DataSheet_PY2!$X$2:$X$71, --(GT_Cost_DataSheet_PY2!$Q$2:$Q$71=E91), (F91="OPS")*GT_Cost_DataSheet_PY2!$R$2:$R$71)+
SUMPRODUCT(GT_Cost_DataSheet_PY2!$X$2:$X$71, --(GT_Cost_DataSheet_PY2!$Q$2:$Q$71=E91), (F91="MAINT")*GT_Cost_DataSheet_PY2!$S$2:$S$71)+
SUMPRODUCT(GT_Cost_DataSheet_PY2!$X$2:$X$71, --(GT_Cost_DataSheet_PY2!$Q$2:$Q$71=E91), (F91="DEV")*GT_Cost_DataSheet_PY2!$T$2:$T$71)+
SUMPRODUCT(GT_Cost_DataSheet_PY2!$X$2:$X$71, --(GT_Cost_DataSheet_PY2!$Q$2:$Q$71=E91), (F91="COORD")*GT_Cost_DataSheet_PY2!$U$2:$U$71)+
SUMPRODUCT(GT_Cost_DataSheet_PY2!$X$2:$X$71, --(GT_Cost_DataSheet_PY2!$Q$2:$Q$71=E91), (F91="SUP")*GT_Cost_DataSheet_PY2!$V$2:$V$71)</f>
        <v>0</v>
      </c>
      <c r="J91" s="185">
        <f>SUMPRODUCT(GT_Cost_DataSheet_PY2!$AB$2:$AB$71, --(GT_Cost_DataSheet_PY2!$Q$2:$Q$71=E91), (F91="OPS")*GT_Cost_DataSheet_PY2!$R$2:$R$71)+SUMPRODUCT(GT_Cost_DataSheet_PY2!$AB$2:$AB$71, --(GT_Cost_DataSheet_PY2!$Q$2:$Q$71=E91), (F91="MAINT")*GT_Cost_DataSheet_PY2!$S$2:$S$71)+SUMPRODUCT(GT_Cost_DataSheet_PY2!$AB$2:$AB$71, --(GT_Cost_DataSheet_PY2!$Q$2:$Q$71=E91), (F91="DEV")*GT_Cost_DataSheet_PY2!$T$2:$T$71)+SUMPRODUCT(GT_Cost_DataSheet_PY2!$AB$2:$AB$71, --(GT_Cost_DataSheet_PY2!$Q$2:$Q$71=E91), (F91="COORD")*GT_Cost_DataSheet_PY2!$U$2:$U$71)+SUMPRODUCT(GT_Cost_DataSheet_PY2!$AB$2:$AB$71, --(GT_Cost_DataSheet_PY2!$Q$2:$Q$71=E91), (F91="SUP")*GT_Cost_DataSheet_PY2!$V$2:$V$71)</f>
        <v>0</v>
      </c>
    </row>
    <row r="92" spans="1:10" s="111" customFormat="1">
      <c r="A92" s="174">
        <v>3.2</v>
      </c>
      <c r="B92" s="158" t="s">
        <v>347</v>
      </c>
      <c r="C92" s="22" t="s">
        <v>353</v>
      </c>
      <c r="D92" s="22" t="s">
        <v>354</v>
      </c>
      <c r="E92" s="159" t="s">
        <v>436</v>
      </c>
      <c r="F92" s="160" t="s">
        <v>449</v>
      </c>
      <c r="G92" s="160" t="s">
        <v>496</v>
      </c>
      <c r="H92" s="160"/>
      <c r="I92" s="161">
        <f>SUMPRODUCT(GT_Cost_DataSheet_PY2!$X$2:$X$71, --(GT_Cost_DataSheet_PY2!$Q$2:$Q$71=E92), (F92="OPS")*GT_Cost_DataSheet_PY2!$R$2:$R$71)+
SUMPRODUCT(GT_Cost_DataSheet_PY2!$X$2:$X$71, --(GT_Cost_DataSheet_PY2!$Q$2:$Q$71=E92), (F92="MAINT")*GT_Cost_DataSheet_PY2!$S$2:$S$71)+
SUMPRODUCT(GT_Cost_DataSheet_PY2!$X$2:$X$71, --(GT_Cost_DataSheet_PY2!$Q$2:$Q$71=E92), (F92="DEV")*GT_Cost_DataSheet_PY2!$T$2:$T$71)+
SUMPRODUCT(GT_Cost_DataSheet_PY2!$X$2:$X$71, --(GT_Cost_DataSheet_PY2!$Q$2:$Q$71=E92), (F92="COORD")*GT_Cost_DataSheet_PY2!$U$2:$U$71)+
SUMPRODUCT(GT_Cost_DataSheet_PY2!$X$2:$X$71, --(GT_Cost_DataSheet_PY2!$Q$2:$Q$71=E92), (F92="SUP")*GT_Cost_DataSheet_PY2!$V$2:$V$71)</f>
        <v>0</v>
      </c>
      <c r="J92" s="185">
        <f>SUMPRODUCT(GT_Cost_DataSheet_PY2!$AB$2:$AB$71, --(GT_Cost_DataSheet_PY2!$Q$2:$Q$71=E92), (F92="OPS")*GT_Cost_DataSheet_PY2!$R$2:$R$71)+SUMPRODUCT(GT_Cost_DataSheet_PY2!$AB$2:$AB$71, --(GT_Cost_DataSheet_PY2!$Q$2:$Q$71=E92), (F92="MAINT")*GT_Cost_DataSheet_PY2!$S$2:$S$71)+SUMPRODUCT(GT_Cost_DataSheet_PY2!$AB$2:$AB$71, --(GT_Cost_DataSheet_PY2!$Q$2:$Q$71=E92), (F92="DEV")*GT_Cost_DataSheet_PY2!$T$2:$T$71)+SUMPRODUCT(GT_Cost_DataSheet_PY2!$AB$2:$AB$71, --(GT_Cost_DataSheet_PY2!$Q$2:$Q$71=E92), (F92="COORD")*GT_Cost_DataSheet_PY2!$U$2:$U$71)+SUMPRODUCT(GT_Cost_DataSheet_PY2!$AB$2:$AB$71, --(GT_Cost_DataSheet_PY2!$Q$2:$Q$71=E92), (F92="SUP")*GT_Cost_DataSheet_PY2!$V$2:$V$71)</f>
        <v>0</v>
      </c>
    </row>
    <row r="93" spans="1:10" s="111" customFormat="1">
      <c r="A93" s="174">
        <v>3.2</v>
      </c>
      <c r="B93" s="117" t="s">
        <v>347</v>
      </c>
      <c r="C93" s="111" t="s">
        <v>353</v>
      </c>
      <c r="D93" s="111" t="s">
        <v>291</v>
      </c>
      <c r="E93" s="119" t="s">
        <v>291</v>
      </c>
      <c r="F93" s="121" t="s">
        <v>384</v>
      </c>
      <c r="G93" s="121" t="s">
        <v>496</v>
      </c>
      <c r="H93" s="121"/>
      <c r="I93" s="123">
        <f>SUMPRODUCT(GT_Cost_DataSheet_PY2!$X$2:$X$71, --(GT_Cost_DataSheet_PY2!$Q$2:$Q$71=E93), (F93="OPS")*GT_Cost_DataSheet_PY2!$R$2:$R$71)+
SUMPRODUCT(GT_Cost_DataSheet_PY2!$X$2:$X$71, --(GT_Cost_DataSheet_PY2!$Q$2:$Q$71=E93), (F93="MAINT")*GT_Cost_DataSheet_PY2!$S$2:$S$71)+
SUMPRODUCT(GT_Cost_DataSheet_PY2!$X$2:$X$71, --(GT_Cost_DataSheet_PY2!$Q$2:$Q$71=E93), (F93="DEV")*GT_Cost_DataSheet_PY2!$T$2:$T$71)+
SUMPRODUCT(GT_Cost_DataSheet_PY2!$X$2:$X$71, --(GT_Cost_DataSheet_PY2!$Q$2:$Q$71=E93), (F93="COORD")*GT_Cost_DataSheet_PY2!$U$2:$U$71)+
SUMPRODUCT(GT_Cost_DataSheet_PY2!$X$2:$X$71, --(GT_Cost_DataSheet_PY2!$Q$2:$Q$71=E93), (F93="SUP")*GT_Cost_DataSheet_PY2!$V$2:$V$71)</f>
        <v>0.61548143486469498</v>
      </c>
      <c r="J93" s="184">
        <f>SUMPRODUCT(GT_Cost_DataSheet_PY2!$AB$2:$AB$71, --(GT_Cost_DataSheet_PY2!$Q$2:$Q$71=E93), (F93="OPS")*GT_Cost_DataSheet_PY2!$R$2:$R$71)+SUMPRODUCT(GT_Cost_DataSheet_PY2!$AB$2:$AB$71, --(GT_Cost_DataSheet_PY2!$Q$2:$Q$71=E93), (F93="MAINT")*GT_Cost_DataSheet_PY2!$S$2:$S$71)+SUMPRODUCT(GT_Cost_DataSheet_PY2!$AB$2:$AB$71, --(GT_Cost_DataSheet_PY2!$Q$2:$Q$71=E93), (F93="DEV")*GT_Cost_DataSheet_PY2!$T$2:$T$71)+SUMPRODUCT(GT_Cost_DataSheet_PY2!$AB$2:$AB$71, --(GT_Cost_DataSheet_PY2!$Q$2:$Q$71=E93), (F93="COORD")*GT_Cost_DataSheet_PY2!$U$2:$U$71)+SUMPRODUCT(GT_Cost_DataSheet_PY2!$AB$2:$AB$71, --(GT_Cost_DataSheet_PY2!$Q$2:$Q$71=E93), (F93="SUP")*GT_Cost_DataSheet_PY2!$V$2:$V$71)</f>
        <v>2289.0835200000001</v>
      </c>
    </row>
    <row r="94" spans="1:10" s="111" customFormat="1">
      <c r="A94" s="174">
        <v>3.2</v>
      </c>
      <c r="B94" s="117" t="s">
        <v>347</v>
      </c>
      <c r="C94" s="111" t="s">
        <v>353</v>
      </c>
      <c r="D94" s="111" t="s">
        <v>291</v>
      </c>
      <c r="E94" s="119" t="s">
        <v>291</v>
      </c>
      <c r="F94" s="121" t="s">
        <v>463</v>
      </c>
      <c r="G94" s="121" t="s">
        <v>496</v>
      </c>
      <c r="H94" s="121"/>
      <c r="I94" s="123">
        <f>SUMPRODUCT(GT_Cost_DataSheet_PY2!$X$2:$X$71, --(GT_Cost_DataSheet_PY2!$Q$2:$Q$71=E94), (F94="OPS")*GT_Cost_DataSheet_PY2!$R$2:$R$71)+
SUMPRODUCT(GT_Cost_DataSheet_PY2!$X$2:$X$71, --(GT_Cost_DataSheet_PY2!$Q$2:$Q$71=E94), (F94="MAINT")*GT_Cost_DataSheet_PY2!$S$2:$S$71)+
SUMPRODUCT(GT_Cost_DataSheet_PY2!$X$2:$X$71, --(GT_Cost_DataSheet_PY2!$Q$2:$Q$71=E94), (F94="DEV")*GT_Cost_DataSheet_PY2!$T$2:$T$71)+
SUMPRODUCT(GT_Cost_DataSheet_PY2!$X$2:$X$71, --(GT_Cost_DataSheet_PY2!$Q$2:$Q$71=E94), (F94="COORD")*GT_Cost_DataSheet_PY2!$U$2:$U$71)+
SUMPRODUCT(GT_Cost_DataSheet_PY2!$X$2:$X$71, --(GT_Cost_DataSheet_PY2!$Q$2:$Q$71=E94), (F94="SUP")*GT_Cost_DataSheet_PY2!$V$2:$V$71)</f>
        <v>1.8464443045940848</v>
      </c>
      <c r="J94" s="184">
        <f>SUMPRODUCT(GT_Cost_DataSheet_PY2!$AB$2:$AB$71, --(GT_Cost_DataSheet_PY2!$Q$2:$Q$71=E94), (F94="OPS")*GT_Cost_DataSheet_PY2!$R$2:$R$71)+SUMPRODUCT(GT_Cost_DataSheet_PY2!$AB$2:$AB$71, --(GT_Cost_DataSheet_PY2!$Q$2:$Q$71=E94), (F94="MAINT")*GT_Cost_DataSheet_PY2!$S$2:$S$71)+SUMPRODUCT(GT_Cost_DataSheet_PY2!$AB$2:$AB$71, --(GT_Cost_DataSheet_PY2!$Q$2:$Q$71=E94), (F94="DEV")*GT_Cost_DataSheet_PY2!$T$2:$T$71)+SUMPRODUCT(GT_Cost_DataSheet_PY2!$AB$2:$AB$71, --(GT_Cost_DataSheet_PY2!$Q$2:$Q$71=E94), (F94="COORD")*GT_Cost_DataSheet_PY2!$U$2:$U$71)+SUMPRODUCT(GT_Cost_DataSheet_PY2!$AB$2:$AB$71, --(GT_Cost_DataSheet_PY2!$Q$2:$Q$71=E94), (F94="SUP")*GT_Cost_DataSheet_PY2!$V$2:$V$71)</f>
        <v>6867.2505600000004</v>
      </c>
    </row>
    <row r="95" spans="1:10" s="111" customFormat="1">
      <c r="A95" s="174">
        <v>3.2</v>
      </c>
      <c r="B95" s="117" t="s">
        <v>347</v>
      </c>
      <c r="C95" s="111" t="s">
        <v>353</v>
      </c>
      <c r="D95" s="111" t="s">
        <v>291</v>
      </c>
      <c r="E95" s="119" t="s">
        <v>291</v>
      </c>
      <c r="F95" s="121" t="s">
        <v>304</v>
      </c>
      <c r="G95" s="121" t="s">
        <v>496</v>
      </c>
      <c r="H95" s="121"/>
      <c r="I95" s="123">
        <f>SUMPRODUCT(GT_Cost_DataSheet_PY2!$X$2:$X$71, --(GT_Cost_DataSheet_PY2!$Q$2:$Q$71=E95), (F95="OPS")*GT_Cost_DataSheet_PY2!$R$2:$R$71)+
SUMPRODUCT(GT_Cost_DataSheet_PY2!$X$2:$X$71, --(GT_Cost_DataSheet_PY2!$Q$2:$Q$71=E95), (F95="MAINT")*GT_Cost_DataSheet_PY2!$S$2:$S$71)+
SUMPRODUCT(GT_Cost_DataSheet_PY2!$X$2:$X$71, --(GT_Cost_DataSheet_PY2!$Q$2:$Q$71=E95), (F95="DEV")*GT_Cost_DataSheet_PY2!$T$2:$T$71)+
SUMPRODUCT(GT_Cost_DataSheet_PY2!$X$2:$X$71, --(GT_Cost_DataSheet_PY2!$Q$2:$Q$71=E95), (F95="COORD")*GT_Cost_DataSheet_PY2!$U$2:$U$71)+
SUMPRODUCT(GT_Cost_DataSheet_PY2!$X$2:$X$71, --(GT_Cost_DataSheet_PY2!$Q$2:$Q$71=E95), (F95="SUP")*GT_Cost_DataSheet_PY2!$V$2:$V$71)</f>
        <v>3.6928886091881696</v>
      </c>
      <c r="J95" s="184">
        <f>SUMPRODUCT(GT_Cost_DataSheet_PY2!$AB$2:$AB$71, --(GT_Cost_DataSheet_PY2!$Q$2:$Q$71=E95), (F95="OPS")*GT_Cost_DataSheet_PY2!$R$2:$R$71)+SUMPRODUCT(GT_Cost_DataSheet_PY2!$AB$2:$AB$71, --(GT_Cost_DataSheet_PY2!$Q$2:$Q$71=E95), (F95="MAINT")*GT_Cost_DataSheet_PY2!$S$2:$S$71)+SUMPRODUCT(GT_Cost_DataSheet_PY2!$AB$2:$AB$71, --(GT_Cost_DataSheet_PY2!$Q$2:$Q$71=E95), (F95="DEV")*GT_Cost_DataSheet_PY2!$T$2:$T$71)+SUMPRODUCT(GT_Cost_DataSheet_PY2!$AB$2:$AB$71, --(GT_Cost_DataSheet_PY2!$Q$2:$Q$71=E95), (F95="COORD")*GT_Cost_DataSheet_PY2!$U$2:$U$71)+SUMPRODUCT(GT_Cost_DataSheet_PY2!$AB$2:$AB$71, --(GT_Cost_DataSheet_PY2!$Q$2:$Q$71=E95), (F95="SUP")*GT_Cost_DataSheet_PY2!$V$2:$V$71)</f>
        <v>13734.501120000001</v>
      </c>
    </row>
    <row r="96" spans="1:10" s="111" customFormat="1">
      <c r="A96" s="174">
        <v>4.0999999999999996</v>
      </c>
      <c r="B96" s="117" t="s">
        <v>355</v>
      </c>
      <c r="C96" s="111" t="s">
        <v>403</v>
      </c>
      <c r="D96" s="111" t="s">
        <v>403</v>
      </c>
      <c r="E96" s="119" t="s">
        <v>192</v>
      </c>
      <c r="F96" s="121" t="s">
        <v>463</v>
      </c>
      <c r="G96" s="121" t="s">
        <v>493</v>
      </c>
      <c r="H96" s="121"/>
      <c r="I96" s="123">
        <f>SUMPRODUCT(GT_Cost_DataSheet_PY2!$X$2:$X$71, --(GT_Cost_DataSheet_PY2!$Q$2:$Q$71=E96), (F96="OPS")*GT_Cost_DataSheet_PY2!$R$2:$R$71)+
SUMPRODUCT(GT_Cost_DataSheet_PY2!$X$2:$X$71, --(GT_Cost_DataSheet_PY2!$Q$2:$Q$71=E96), (F96="MAINT")*GT_Cost_DataSheet_PY2!$S$2:$S$71)+
SUMPRODUCT(GT_Cost_DataSheet_PY2!$X$2:$X$71, --(GT_Cost_DataSheet_PY2!$Q$2:$Q$71=E96), (F96="DEV")*GT_Cost_DataSheet_PY2!$T$2:$T$71)+
SUMPRODUCT(GT_Cost_DataSheet_PY2!$X$2:$X$71, --(GT_Cost_DataSheet_PY2!$Q$2:$Q$71=E96), (F96="COORD")*GT_Cost_DataSheet_PY2!$U$2:$U$71)+
SUMPRODUCT(GT_Cost_DataSheet_PY2!$X$2:$X$71, --(GT_Cost_DataSheet_PY2!$Q$2:$Q$71=E96), (F96="SUP")*GT_Cost_DataSheet_PY2!$V$2:$V$71)</f>
        <v>0</v>
      </c>
      <c r="J96" s="184">
        <f>SUMPRODUCT(GT_Cost_DataSheet_PY2!$AB$2:$AB$71, --(GT_Cost_DataSheet_PY2!$Q$2:$Q$71=E96), (F96="OPS")*GT_Cost_DataSheet_PY2!$R$2:$R$71)+SUMPRODUCT(GT_Cost_DataSheet_PY2!$AB$2:$AB$71, --(GT_Cost_DataSheet_PY2!$Q$2:$Q$71=E96), (F96="MAINT")*GT_Cost_DataSheet_PY2!$S$2:$S$71)+SUMPRODUCT(GT_Cost_DataSheet_PY2!$AB$2:$AB$71, --(GT_Cost_DataSheet_PY2!$Q$2:$Q$71=E96), (F96="DEV")*GT_Cost_DataSheet_PY2!$T$2:$T$71)+SUMPRODUCT(GT_Cost_DataSheet_PY2!$AB$2:$AB$71, --(GT_Cost_DataSheet_PY2!$Q$2:$Q$71=E96), (F96="COORD")*GT_Cost_DataSheet_PY2!$U$2:$U$71)+SUMPRODUCT(GT_Cost_DataSheet_PY2!$AB$2:$AB$71, --(GT_Cost_DataSheet_PY2!$Q$2:$Q$71=E96), (F96="SUP")*GT_Cost_DataSheet_PY2!$V$2:$V$71)</f>
        <v>0</v>
      </c>
    </row>
    <row r="97" spans="1:12" s="111" customFormat="1">
      <c r="A97" s="174">
        <v>4.0999999999999996</v>
      </c>
      <c r="B97" s="117" t="s">
        <v>355</v>
      </c>
      <c r="C97" s="111" t="s">
        <v>403</v>
      </c>
      <c r="D97" s="111" t="s">
        <v>403</v>
      </c>
      <c r="E97" s="119" t="s">
        <v>192</v>
      </c>
      <c r="F97" s="121" t="s">
        <v>384</v>
      </c>
      <c r="G97" s="121" t="s">
        <v>493</v>
      </c>
      <c r="H97" s="121"/>
      <c r="I97" s="123">
        <f>SUMPRODUCT(GT_Cost_DataSheet_PY2!$X$2:$X$71, --(GT_Cost_DataSheet_PY2!$Q$2:$Q$71=E97), (F97="OPS")*GT_Cost_DataSheet_PY2!$R$2:$R$71)+
SUMPRODUCT(GT_Cost_DataSheet_PY2!$X$2:$X$71, --(GT_Cost_DataSheet_PY2!$Q$2:$Q$71=E97), (F97="MAINT")*GT_Cost_DataSheet_PY2!$S$2:$S$71)+
SUMPRODUCT(GT_Cost_DataSheet_PY2!$X$2:$X$71, --(GT_Cost_DataSheet_PY2!$Q$2:$Q$71=E97), (F97="DEV")*GT_Cost_DataSheet_PY2!$T$2:$T$71)+
SUMPRODUCT(GT_Cost_DataSheet_PY2!$X$2:$X$71, --(GT_Cost_DataSheet_PY2!$Q$2:$Q$71=E97), (F97="COORD")*GT_Cost_DataSheet_PY2!$U$2:$U$71)+
SUMPRODUCT(GT_Cost_DataSheet_PY2!$X$2:$X$71, --(GT_Cost_DataSheet_PY2!$Q$2:$Q$71=E97), (F97="SUP")*GT_Cost_DataSheet_PY2!$V$2:$V$71)</f>
        <v>1.5863009523809513</v>
      </c>
      <c r="J97" s="184">
        <f>SUMPRODUCT(GT_Cost_DataSheet_PY2!$AB$2:$AB$71, --(GT_Cost_DataSheet_PY2!$Q$2:$Q$71=E97), (F97="OPS")*GT_Cost_DataSheet_PY2!$R$2:$R$71)+SUMPRODUCT(GT_Cost_DataSheet_PY2!$AB$2:$AB$71, --(GT_Cost_DataSheet_PY2!$Q$2:$Q$71=E97), (F97="MAINT")*GT_Cost_DataSheet_PY2!$S$2:$S$71)+SUMPRODUCT(GT_Cost_DataSheet_PY2!$AB$2:$AB$71, --(GT_Cost_DataSheet_PY2!$Q$2:$Q$71=E97), (F97="DEV")*GT_Cost_DataSheet_PY2!$T$2:$T$71)+SUMPRODUCT(GT_Cost_DataSheet_PY2!$AB$2:$AB$71, --(GT_Cost_DataSheet_PY2!$Q$2:$Q$71=E97), (F97="COORD")*GT_Cost_DataSheet_PY2!$U$2:$U$71)+SUMPRODUCT(GT_Cost_DataSheet_PY2!$AB$2:$AB$71, --(GT_Cost_DataSheet_PY2!$Q$2:$Q$71=E97), (F97="SUP")*GT_Cost_DataSheet_PY2!$V$2:$V$71)</f>
        <v>13213.168</v>
      </c>
    </row>
    <row r="98" spans="1:12" s="111" customFormat="1">
      <c r="A98" s="174">
        <v>4.0999999999999996</v>
      </c>
      <c r="B98" s="117" t="s">
        <v>355</v>
      </c>
      <c r="C98" s="111" t="s">
        <v>403</v>
      </c>
      <c r="D98" s="111" t="s">
        <v>403</v>
      </c>
      <c r="E98" s="119" t="s">
        <v>192</v>
      </c>
      <c r="F98" s="121" t="s">
        <v>304</v>
      </c>
      <c r="G98" s="121" t="s">
        <v>496</v>
      </c>
      <c r="H98" s="121"/>
      <c r="I98" s="123">
        <f>SUMPRODUCT(GT_Cost_DataSheet_PY2!$X$2:$X$71, --(GT_Cost_DataSheet_PY2!$Q$2:$Q$71=E98), (F98="OPS")*GT_Cost_DataSheet_PY2!$R$2:$R$71)+
SUMPRODUCT(GT_Cost_DataSheet_PY2!$X$2:$X$71, --(GT_Cost_DataSheet_PY2!$Q$2:$Q$71=E98), (F98="MAINT")*GT_Cost_DataSheet_PY2!$S$2:$S$71)+
SUMPRODUCT(GT_Cost_DataSheet_PY2!$X$2:$X$71, --(GT_Cost_DataSheet_PY2!$Q$2:$Q$71=E98), (F98="DEV")*GT_Cost_DataSheet_PY2!$T$2:$T$71)+
SUMPRODUCT(GT_Cost_DataSheet_PY2!$X$2:$X$71, --(GT_Cost_DataSheet_PY2!$Q$2:$Q$71=E98), (F98="COORD")*GT_Cost_DataSheet_PY2!$U$2:$U$71)+
SUMPRODUCT(GT_Cost_DataSheet_PY2!$X$2:$X$71, --(GT_Cost_DataSheet_PY2!$Q$2:$Q$71=E98), (F98="SUP")*GT_Cost_DataSheet_PY2!$V$2:$V$71)</f>
        <v>6.345203809523805</v>
      </c>
      <c r="J98" s="184">
        <f>SUMPRODUCT(GT_Cost_DataSheet_PY2!$AB$2:$AB$71, --(GT_Cost_DataSheet_PY2!$Q$2:$Q$71=E98), (F98="OPS")*GT_Cost_DataSheet_PY2!$R$2:$R$71)+SUMPRODUCT(GT_Cost_DataSheet_PY2!$AB$2:$AB$71, --(GT_Cost_DataSheet_PY2!$Q$2:$Q$71=E98), (F98="MAINT")*GT_Cost_DataSheet_PY2!$S$2:$S$71)+SUMPRODUCT(GT_Cost_DataSheet_PY2!$AB$2:$AB$71, --(GT_Cost_DataSheet_PY2!$Q$2:$Q$71=E98), (F98="DEV")*GT_Cost_DataSheet_PY2!$T$2:$T$71)+SUMPRODUCT(GT_Cost_DataSheet_PY2!$AB$2:$AB$71, --(GT_Cost_DataSheet_PY2!$Q$2:$Q$71=E98), (F98="COORD")*GT_Cost_DataSheet_PY2!$U$2:$U$71)+SUMPRODUCT(GT_Cost_DataSheet_PY2!$AB$2:$AB$71, --(GT_Cost_DataSheet_PY2!$Q$2:$Q$71=E98), (F98="SUP")*GT_Cost_DataSheet_PY2!$V$2:$V$71)</f>
        <v>52852.671999999999</v>
      </c>
    </row>
    <row r="99" spans="1:12" s="111" customFormat="1">
      <c r="A99" s="174">
        <v>4.2</v>
      </c>
      <c r="B99" s="169" t="s">
        <v>355</v>
      </c>
      <c r="C99" s="162" t="s">
        <v>356</v>
      </c>
      <c r="D99" s="162" t="s">
        <v>338</v>
      </c>
      <c r="E99" s="163" t="s">
        <v>439</v>
      </c>
      <c r="F99" s="160" t="s">
        <v>302</v>
      </c>
      <c r="G99" s="160" t="s">
        <v>493</v>
      </c>
      <c r="H99" s="163"/>
      <c r="I99" s="164">
        <f>SUMPRODUCT(GT_Cost_DataSheet_PY2!$X$2:$X$71, --(GT_Cost_DataSheet_PY2!$Q$2:$Q$71=E99), (F99="OPS")*GT_Cost_DataSheet_PY2!$R$2:$R$71)+
SUMPRODUCT(GT_Cost_DataSheet_PY2!$X$2:$X$71, --(GT_Cost_DataSheet_PY2!$Q$2:$Q$71=E99), (F99="MAINT")*GT_Cost_DataSheet_PY2!$S$2:$S$71)+
SUMPRODUCT(GT_Cost_DataSheet_PY2!$X$2:$X$71, --(GT_Cost_DataSheet_PY2!$Q$2:$Q$71=E99), (F99="DEV")*GT_Cost_DataSheet_PY2!$T$2:$T$71)+
SUMPRODUCT(GT_Cost_DataSheet_PY2!$X$2:$X$71, --(GT_Cost_DataSheet_PY2!$Q$2:$Q$71=E99), (F99="COORD")*GT_Cost_DataSheet_PY2!$U$2:$U$71)+
SUMPRODUCT(GT_Cost_DataSheet_PY2!$X$2:$X$71, --(GT_Cost_DataSheet_PY2!$Q$2:$Q$71=E99), (F99="SUP")*GT_Cost_DataSheet_PY2!$V$2:$V$71)</f>
        <v>0</v>
      </c>
      <c r="J99" s="188">
        <f>SUMPRODUCT(GT_Cost_DataSheet_PY2!$AB$2:$AB$71, --(GT_Cost_DataSheet_PY2!$Q$2:$Q$71=E99), (F99="OPS")*GT_Cost_DataSheet_PY2!$R$2:$R$71)+SUMPRODUCT(GT_Cost_DataSheet_PY2!$AB$2:$AB$71, --(GT_Cost_DataSheet_PY2!$Q$2:$Q$71=E99), (F99="MAINT")*GT_Cost_DataSheet_PY2!$S$2:$S$71)+SUMPRODUCT(GT_Cost_DataSheet_PY2!$AB$2:$AB$71, --(GT_Cost_DataSheet_PY2!$Q$2:$Q$71=E99), (F99="DEV")*GT_Cost_DataSheet_PY2!$T$2:$T$71)+SUMPRODUCT(GT_Cost_DataSheet_PY2!$AB$2:$AB$71, --(GT_Cost_DataSheet_PY2!$Q$2:$Q$71=E99), (F99="COORD")*GT_Cost_DataSheet_PY2!$U$2:$U$71)+SUMPRODUCT(GT_Cost_DataSheet_PY2!$AB$2:$AB$71, --(GT_Cost_DataSheet_PY2!$Q$2:$Q$71=E99), (F99="SUP")*GT_Cost_DataSheet_PY2!$V$2:$V$71)</f>
        <v>0</v>
      </c>
      <c r="K99" s="94"/>
      <c r="L99" s="94"/>
    </row>
    <row r="100" spans="1:12" s="111" customFormat="1">
      <c r="A100" s="174">
        <v>4.2</v>
      </c>
      <c r="B100" s="169" t="s">
        <v>355</v>
      </c>
      <c r="C100" s="162" t="s">
        <v>356</v>
      </c>
      <c r="D100" s="162" t="s">
        <v>338</v>
      </c>
      <c r="E100" s="163" t="s">
        <v>439</v>
      </c>
      <c r="F100" s="160" t="s">
        <v>449</v>
      </c>
      <c r="G100" s="160" t="s">
        <v>496</v>
      </c>
      <c r="H100" s="163"/>
      <c r="I100" s="164">
        <f>SUMPRODUCT(GT_Cost_DataSheet_PY2!$X$2:$X$71, --(GT_Cost_DataSheet_PY2!$Q$2:$Q$71=E100), (F100="OPS")*GT_Cost_DataSheet_PY2!$R$2:$R$71)+
SUMPRODUCT(GT_Cost_DataSheet_PY2!$X$2:$X$71, --(GT_Cost_DataSheet_PY2!$Q$2:$Q$71=E100), (F100="MAINT")*GT_Cost_DataSheet_PY2!$S$2:$S$71)+
SUMPRODUCT(GT_Cost_DataSheet_PY2!$X$2:$X$71, --(GT_Cost_DataSheet_PY2!$Q$2:$Q$71=E100), (F100="DEV")*GT_Cost_DataSheet_PY2!$T$2:$T$71)+
SUMPRODUCT(GT_Cost_DataSheet_PY2!$X$2:$X$71, --(GT_Cost_DataSheet_PY2!$Q$2:$Q$71=E100), (F100="COORD")*GT_Cost_DataSheet_PY2!$U$2:$U$71)+
SUMPRODUCT(GT_Cost_DataSheet_PY2!$X$2:$X$71, --(GT_Cost_DataSheet_PY2!$Q$2:$Q$71=E100), (F100="SUP")*GT_Cost_DataSheet_PY2!$V$2:$V$71)</f>
        <v>0</v>
      </c>
      <c r="J100" s="188">
        <f>SUMPRODUCT(GT_Cost_DataSheet_PY2!$AB$2:$AB$71, --(GT_Cost_DataSheet_PY2!$Q$2:$Q$71=E100), (F100="OPS")*GT_Cost_DataSheet_PY2!$R$2:$R$71)+SUMPRODUCT(GT_Cost_DataSheet_PY2!$AB$2:$AB$71, --(GT_Cost_DataSheet_PY2!$Q$2:$Q$71=E100), (F100="MAINT")*GT_Cost_DataSheet_PY2!$S$2:$S$71)+SUMPRODUCT(GT_Cost_DataSheet_PY2!$AB$2:$AB$71, --(GT_Cost_DataSheet_PY2!$Q$2:$Q$71=E100), (F100="DEV")*GT_Cost_DataSheet_PY2!$T$2:$T$71)+SUMPRODUCT(GT_Cost_DataSheet_PY2!$AB$2:$AB$71, --(GT_Cost_DataSheet_PY2!$Q$2:$Q$71=E100), (F100="COORD")*GT_Cost_DataSheet_PY2!$U$2:$U$71)+SUMPRODUCT(GT_Cost_DataSheet_PY2!$AB$2:$AB$71, --(GT_Cost_DataSheet_PY2!$Q$2:$Q$71=E100), (F100="SUP")*GT_Cost_DataSheet_PY2!$V$2:$V$71)</f>
        <v>0</v>
      </c>
      <c r="K100" s="94"/>
      <c r="L100" s="94"/>
    </row>
    <row r="101" spans="1:12" s="111" customFormat="1">
      <c r="A101" s="174">
        <v>4.2</v>
      </c>
      <c r="B101" s="158" t="s">
        <v>355</v>
      </c>
      <c r="C101" s="22" t="s">
        <v>356</v>
      </c>
      <c r="D101" s="22" t="s">
        <v>358</v>
      </c>
      <c r="E101" s="159" t="s">
        <v>442</v>
      </c>
      <c r="F101" s="160" t="s">
        <v>463</v>
      </c>
      <c r="G101" s="160" t="s">
        <v>493</v>
      </c>
      <c r="H101" s="160"/>
      <c r="I101" s="161">
        <f>SUMPRODUCT(GT_Cost_DataSheet_PY2!$X$2:$X$71, --(GT_Cost_DataSheet_PY2!$Q$2:$Q$71=E101), (F101="OPS")*GT_Cost_DataSheet_PY2!$R$2:$R$71)+
SUMPRODUCT(GT_Cost_DataSheet_PY2!$X$2:$X$71, --(GT_Cost_DataSheet_PY2!$Q$2:$Q$71=E101), (F101="MAINT")*GT_Cost_DataSheet_PY2!$S$2:$S$71)+
SUMPRODUCT(GT_Cost_DataSheet_PY2!$X$2:$X$71, --(GT_Cost_DataSheet_PY2!$Q$2:$Q$71=E101), (F101="DEV")*GT_Cost_DataSheet_PY2!$T$2:$T$71)+
SUMPRODUCT(GT_Cost_DataSheet_PY2!$X$2:$X$71, --(GT_Cost_DataSheet_PY2!$Q$2:$Q$71=E101), (F101="COORD")*GT_Cost_DataSheet_PY2!$U$2:$U$71)+
SUMPRODUCT(GT_Cost_DataSheet_PY2!$X$2:$X$71, --(GT_Cost_DataSheet_PY2!$Q$2:$Q$71=E101), (F101="SUP")*GT_Cost_DataSheet_PY2!$V$2:$V$71)</f>
        <v>0</v>
      </c>
      <c r="J101" s="185">
        <f>SUMPRODUCT(GT_Cost_DataSheet_PY2!$AB$2:$AB$71, --(GT_Cost_DataSheet_PY2!$Q$2:$Q$71=E101), (F101="OPS")*GT_Cost_DataSheet_PY2!$R$2:$R$71)+SUMPRODUCT(GT_Cost_DataSheet_PY2!$AB$2:$AB$71, --(GT_Cost_DataSheet_PY2!$Q$2:$Q$71=E101), (F101="MAINT")*GT_Cost_DataSheet_PY2!$S$2:$S$71)+SUMPRODUCT(GT_Cost_DataSheet_PY2!$AB$2:$AB$71, --(GT_Cost_DataSheet_PY2!$Q$2:$Q$71=E101), (F101="DEV")*GT_Cost_DataSheet_PY2!$T$2:$T$71)+SUMPRODUCT(GT_Cost_DataSheet_PY2!$AB$2:$AB$71, --(GT_Cost_DataSheet_PY2!$Q$2:$Q$71=E101), (F101="COORD")*GT_Cost_DataSheet_PY2!$U$2:$U$71)+SUMPRODUCT(GT_Cost_DataSheet_PY2!$AB$2:$AB$71, --(GT_Cost_DataSheet_PY2!$Q$2:$Q$71=E101), (F101="SUP")*GT_Cost_DataSheet_PY2!$V$2:$V$71)</f>
        <v>0</v>
      </c>
      <c r="K101" s="24"/>
      <c r="L101" s="24"/>
    </row>
    <row r="102" spans="1:12" s="94" customFormat="1">
      <c r="A102" s="174">
        <v>4.2</v>
      </c>
      <c r="B102" s="158" t="s">
        <v>355</v>
      </c>
      <c r="C102" s="22" t="s">
        <v>356</v>
      </c>
      <c r="D102" s="22" t="s">
        <v>476</v>
      </c>
      <c r="E102" s="159" t="s">
        <v>441</v>
      </c>
      <c r="F102" s="160" t="s">
        <v>463</v>
      </c>
      <c r="G102" s="160" t="s">
        <v>412</v>
      </c>
      <c r="H102" s="160"/>
      <c r="I102" s="161">
        <f>SUMPRODUCT(GT_Cost_DataSheet_PY2!$X$2:$X$71, --(GT_Cost_DataSheet_PY2!$Q$2:$Q$71=E102), (F102="OPS")*GT_Cost_DataSheet_PY2!$R$2:$R$71)+
SUMPRODUCT(GT_Cost_DataSheet_PY2!$X$2:$X$71, --(GT_Cost_DataSheet_PY2!$Q$2:$Q$71=E102), (F102="MAINT")*GT_Cost_DataSheet_PY2!$S$2:$S$71)+
SUMPRODUCT(GT_Cost_DataSheet_PY2!$X$2:$X$71, --(GT_Cost_DataSheet_PY2!$Q$2:$Q$71=E102), (F102="DEV")*GT_Cost_DataSheet_PY2!$T$2:$T$71)+
SUMPRODUCT(GT_Cost_DataSheet_PY2!$X$2:$X$71, --(GT_Cost_DataSheet_PY2!$Q$2:$Q$71=E102), (F102="COORD")*GT_Cost_DataSheet_PY2!$U$2:$U$71)+
SUMPRODUCT(GT_Cost_DataSheet_PY2!$X$2:$X$71, --(GT_Cost_DataSheet_PY2!$Q$2:$Q$71=E102), (F102="SUP")*GT_Cost_DataSheet_PY2!$V$2:$V$71)</f>
        <v>0</v>
      </c>
      <c r="J102" s="185">
        <f>SUMPRODUCT(GT_Cost_DataSheet_PY2!$AB$2:$AB$71, --(GT_Cost_DataSheet_PY2!$Q$2:$Q$71=E102), (F102="OPS")*GT_Cost_DataSheet_PY2!$R$2:$R$71)+SUMPRODUCT(GT_Cost_DataSheet_PY2!$AB$2:$AB$71, --(GT_Cost_DataSheet_PY2!$Q$2:$Q$71=E102), (F102="MAINT")*GT_Cost_DataSheet_PY2!$S$2:$S$71)+SUMPRODUCT(GT_Cost_DataSheet_PY2!$AB$2:$AB$71, --(GT_Cost_DataSheet_PY2!$Q$2:$Q$71=E102), (F102="DEV")*GT_Cost_DataSheet_PY2!$T$2:$T$71)+SUMPRODUCT(GT_Cost_DataSheet_PY2!$AB$2:$AB$71, --(GT_Cost_DataSheet_PY2!$Q$2:$Q$71=E102), (F102="COORD")*GT_Cost_DataSheet_PY2!$U$2:$U$71)+SUMPRODUCT(GT_Cost_DataSheet_PY2!$AB$2:$AB$71, --(GT_Cost_DataSheet_PY2!$Q$2:$Q$71=E102), (F102="SUP")*GT_Cost_DataSheet_PY2!$V$2:$V$71)</f>
        <v>0</v>
      </c>
      <c r="K102" s="111"/>
      <c r="L102" s="111"/>
    </row>
    <row r="103" spans="1:12" s="94" customFormat="1">
      <c r="A103" s="174">
        <v>4.2</v>
      </c>
      <c r="B103" s="158" t="s">
        <v>355</v>
      </c>
      <c r="C103" s="22" t="s">
        <v>356</v>
      </c>
      <c r="D103" s="22" t="s">
        <v>502</v>
      </c>
      <c r="E103" s="159" t="s">
        <v>391</v>
      </c>
      <c r="F103" s="160" t="s">
        <v>302</v>
      </c>
      <c r="G103" s="160" t="s">
        <v>493</v>
      </c>
      <c r="H103" s="160"/>
      <c r="I103" s="161">
        <f>SUMPRODUCT(GT_Cost_DataSheet_PY2!$X$2:$X$71, --(GT_Cost_DataSheet_PY2!$Q$2:$Q$71=E103), (F103="OPS")*GT_Cost_DataSheet_PY2!$R$2:$R$71)+
SUMPRODUCT(GT_Cost_DataSheet_PY2!$X$2:$X$71, --(GT_Cost_DataSheet_PY2!$Q$2:$Q$71=E103), (F103="MAINT")*GT_Cost_DataSheet_PY2!$S$2:$S$71)+
SUMPRODUCT(GT_Cost_DataSheet_PY2!$X$2:$X$71, --(GT_Cost_DataSheet_PY2!$Q$2:$Q$71=E103), (F103="DEV")*GT_Cost_DataSheet_PY2!$T$2:$T$71)+
SUMPRODUCT(GT_Cost_DataSheet_PY2!$X$2:$X$71, --(GT_Cost_DataSheet_PY2!$Q$2:$Q$71=E103), (F103="COORD")*GT_Cost_DataSheet_PY2!$U$2:$U$71)+
SUMPRODUCT(GT_Cost_DataSheet_PY2!$X$2:$X$71, --(GT_Cost_DataSheet_PY2!$Q$2:$Q$71=E103), (F103="SUP")*GT_Cost_DataSheet_PY2!$V$2:$V$71)</f>
        <v>0</v>
      </c>
      <c r="J103" s="185">
        <f>SUMPRODUCT(GT_Cost_DataSheet_PY2!$AB$2:$AB$71, --(GT_Cost_DataSheet_PY2!$Q$2:$Q$71=E103), (F103="OPS")*GT_Cost_DataSheet_PY2!$R$2:$R$71)+SUMPRODUCT(GT_Cost_DataSheet_PY2!$AB$2:$AB$71, --(GT_Cost_DataSheet_PY2!$Q$2:$Q$71=E103), (F103="MAINT")*GT_Cost_DataSheet_PY2!$S$2:$S$71)+SUMPRODUCT(GT_Cost_DataSheet_PY2!$AB$2:$AB$71, --(GT_Cost_DataSheet_PY2!$Q$2:$Q$71=E103), (F103="DEV")*GT_Cost_DataSheet_PY2!$T$2:$T$71)+SUMPRODUCT(GT_Cost_DataSheet_PY2!$AB$2:$AB$71, --(GT_Cost_DataSheet_PY2!$Q$2:$Q$71=E103), (F103="COORD")*GT_Cost_DataSheet_PY2!$U$2:$U$71)+SUMPRODUCT(GT_Cost_DataSheet_PY2!$AB$2:$AB$71, --(GT_Cost_DataSheet_PY2!$Q$2:$Q$71=E103), (F103="SUP")*GT_Cost_DataSheet_PY2!$V$2:$V$71)</f>
        <v>0</v>
      </c>
      <c r="K103" s="111"/>
      <c r="L103" s="111"/>
    </row>
    <row r="104" spans="1:12" s="111" customFormat="1">
      <c r="A104" s="174">
        <v>4.2</v>
      </c>
      <c r="B104" s="158" t="s">
        <v>355</v>
      </c>
      <c r="C104" s="22" t="s">
        <v>356</v>
      </c>
      <c r="D104" s="22" t="s">
        <v>502</v>
      </c>
      <c r="E104" s="159" t="s">
        <v>391</v>
      </c>
      <c r="F104" s="160" t="s">
        <v>449</v>
      </c>
      <c r="G104" s="160" t="s">
        <v>493</v>
      </c>
      <c r="H104" s="160"/>
      <c r="I104" s="161">
        <f>SUMPRODUCT(GT_Cost_DataSheet_PY2!$X$2:$X$71, --(GT_Cost_DataSheet_PY2!$Q$2:$Q$71=E104), (F104="OPS")*GT_Cost_DataSheet_PY2!$R$2:$R$71)+
SUMPRODUCT(GT_Cost_DataSheet_PY2!$X$2:$X$71, --(GT_Cost_DataSheet_PY2!$Q$2:$Q$71=E104), (F104="MAINT")*GT_Cost_DataSheet_PY2!$S$2:$S$71)+
SUMPRODUCT(GT_Cost_DataSheet_PY2!$X$2:$X$71, --(GT_Cost_DataSheet_PY2!$Q$2:$Q$71=E104), (F104="DEV")*GT_Cost_DataSheet_PY2!$T$2:$T$71)+
SUMPRODUCT(GT_Cost_DataSheet_PY2!$X$2:$X$71, --(GT_Cost_DataSheet_PY2!$Q$2:$Q$71=E104), (F104="COORD")*GT_Cost_DataSheet_PY2!$U$2:$U$71)+
SUMPRODUCT(GT_Cost_DataSheet_PY2!$X$2:$X$71, --(GT_Cost_DataSheet_PY2!$Q$2:$Q$71=E104), (F104="SUP")*GT_Cost_DataSheet_PY2!$V$2:$V$71)</f>
        <v>0</v>
      </c>
      <c r="J104" s="185">
        <f>SUMPRODUCT(GT_Cost_DataSheet_PY2!$AB$2:$AB$71, --(GT_Cost_DataSheet_PY2!$Q$2:$Q$71=E104), (F104="OPS")*GT_Cost_DataSheet_PY2!$R$2:$R$71)+SUMPRODUCT(GT_Cost_DataSheet_PY2!$AB$2:$AB$71, --(GT_Cost_DataSheet_PY2!$Q$2:$Q$71=E104), (F104="MAINT")*GT_Cost_DataSheet_PY2!$S$2:$S$71)+SUMPRODUCT(GT_Cost_DataSheet_PY2!$AB$2:$AB$71, --(GT_Cost_DataSheet_PY2!$Q$2:$Q$71=E104), (F104="DEV")*GT_Cost_DataSheet_PY2!$T$2:$T$71)+SUMPRODUCT(GT_Cost_DataSheet_PY2!$AB$2:$AB$71, --(GT_Cost_DataSheet_PY2!$Q$2:$Q$71=E104), (F104="COORD")*GT_Cost_DataSheet_PY2!$U$2:$U$71)+SUMPRODUCT(GT_Cost_DataSheet_PY2!$AB$2:$AB$71, --(GT_Cost_DataSheet_PY2!$Q$2:$Q$71=E104), (F104="SUP")*GT_Cost_DataSheet_PY2!$V$2:$V$71)</f>
        <v>0</v>
      </c>
    </row>
    <row r="105" spans="1:12" s="111" customFormat="1">
      <c r="A105" s="174">
        <v>4.2</v>
      </c>
      <c r="B105" s="117" t="s">
        <v>355</v>
      </c>
      <c r="C105" s="111" t="s">
        <v>356</v>
      </c>
      <c r="D105" s="24" t="s">
        <v>84</v>
      </c>
      <c r="E105" s="120" t="s">
        <v>503</v>
      </c>
      <c r="F105" s="122" t="s">
        <v>302</v>
      </c>
      <c r="G105" s="121" t="s">
        <v>493</v>
      </c>
      <c r="H105" s="121"/>
      <c r="I105" s="123">
        <f>SUMPRODUCT(GT_Cost_DataSheet_PY2!$X$2:$X$71, --(GT_Cost_DataSheet_PY2!$Q$2:$Q$71=E105), (F105="OPS")*GT_Cost_DataSheet_PY2!$R$2:$R$71)+
SUMPRODUCT(GT_Cost_DataSheet_PY2!$X$2:$X$71, --(GT_Cost_DataSheet_PY2!$Q$2:$Q$71=E105), (F105="MAINT")*GT_Cost_DataSheet_PY2!$S$2:$S$71)+
SUMPRODUCT(GT_Cost_DataSheet_PY2!$X$2:$X$71, --(GT_Cost_DataSheet_PY2!$Q$2:$Q$71=E105), (F105="DEV")*GT_Cost_DataSheet_PY2!$T$2:$T$71)+
SUMPRODUCT(GT_Cost_DataSheet_PY2!$X$2:$X$71, --(GT_Cost_DataSheet_PY2!$Q$2:$Q$71=E105), (F105="COORD")*GT_Cost_DataSheet_PY2!$U$2:$U$71)+
SUMPRODUCT(GT_Cost_DataSheet_PY2!$X$2:$X$71, --(GT_Cost_DataSheet_PY2!$Q$2:$Q$71=E105), (F105="SUP")*GT_Cost_DataSheet_PY2!$V$2:$V$71)</f>
        <v>1.0020000000000002</v>
      </c>
      <c r="J105" s="184">
        <f>SUMPRODUCT(GT_Cost_DataSheet_PY2!$AB$2:$AB$71, --(GT_Cost_DataSheet_PY2!$Q$2:$Q$71=E105), (F105="OPS")*GT_Cost_DataSheet_PY2!$R$2:$R$71)+SUMPRODUCT(GT_Cost_DataSheet_PY2!$AB$2:$AB$71, --(GT_Cost_DataSheet_PY2!$Q$2:$Q$71=E105), (F105="MAINT")*GT_Cost_DataSheet_PY2!$S$2:$S$71)+SUMPRODUCT(GT_Cost_DataSheet_PY2!$AB$2:$AB$71, --(GT_Cost_DataSheet_PY2!$Q$2:$Q$71=E105), (F105="DEV")*GT_Cost_DataSheet_PY2!$T$2:$T$71)+SUMPRODUCT(GT_Cost_DataSheet_PY2!$AB$2:$AB$71, --(GT_Cost_DataSheet_PY2!$Q$2:$Q$71=E105), (F105="COORD")*GT_Cost_DataSheet_PY2!$U$2:$U$71)+SUMPRODUCT(GT_Cost_DataSheet_PY2!$AB$2:$AB$71, --(GT_Cost_DataSheet_PY2!$Q$2:$Q$71=E105), (F105="SUP")*GT_Cost_DataSheet_PY2!$V$2:$V$71)</f>
        <v>4542.0249999999996</v>
      </c>
      <c r="K105" s="24"/>
      <c r="L105" s="24"/>
    </row>
    <row r="106" spans="1:12" s="111" customFormat="1">
      <c r="A106" s="174">
        <v>4.2</v>
      </c>
      <c r="B106" s="117" t="s">
        <v>355</v>
      </c>
      <c r="C106" s="111" t="s">
        <v>356</v>
      </c>
      <c r="D106" s="111" t="s">
        <v>502</v>
      </c>
      <c r="E106" s="119" t="s">
        <v>504</v>
      </c>
      <c r="F106" s="121" t="s">
        <v>302</v>
      </c>
      <c r="G106" s="121" t="s">
        <v>493</v>
      </c>
      <c r="H106" s="121"/>
      <c r="I106" s="123">
        <f>SUMPRODUCT(GT_Cost_DataSheet_PY2!$X$2:$X$71, --(GT_Cost_DataSheet_PY2!$Q$2:$Q$71=E106), (F106="OPS")*GT_Cost_DataSheet_PY2!$R$2:$R$71)+
SUMPRODUCT(GT_Cost_DataSheet_PY2!$X$2:$X$71, --(GT_Cost_DataSheet_PY2!$Q$2:$Q$71=E106), (F106="MAINT")*GT_Cost_DataSheet_PY2!$S$2:$S$71)+
SUMPRODUCT(GT_Cost_DataSheet_PY2!$X$2:$X$71, --(GT_Cost_DataSheet_PY2!$Q$2:$Q$71=E106), (F106="DEV")*GT_Cost_DataSheet_PY2!$T$2:$T$71)+
SUMPRODUCT(GT_Cost_DataSheet_PY2!$X$2:$X$71, --(GT_Cost_DataSheet_PY2!$Q$2:$Q$71=E106), (F106="COORD")*GT_Cost_DataSheet_PY2!$U$2:$U$71)+
SUMPRODUCT(GT_Cost_DataSheet_PY2!$X$2:$X$71, --(GT_Cost_DataSheet_PY2!$Q$2:$Q$71=E106), (F106="SUP")*GT_Cost_DataSheet_PY2!$V$2:$V$71)</f>
        <v>1.2498426683448709</v>
      </c>
      <c r="J106" s="184">
        <f>SUMPRODUCT(GT_Cost_DataSheet_PY2!$AB$2:$AB$71, --(GT_Cost_DataSheet_PY2!$Q$2:$Q$71=E106), (F106="OPS")*GT_Cost_DataSheet_PY2!$R$2:$R$71)+SUMPRODUCT(GT_Cost_DataSheet_PY2!$AB$2:$AB$71, --(GT_Cost_DataSheet_PY2!$Q$2:$Q$71=E106), (F106="MAINT")*GT_Cost_DataSheet_PY2!$S$2:$S$71)+SUMPRODUCT(GT_Cost_DataSheet_PY2!$AB$2:$AB$71, --(GT_Cost_DataSheet_PY2!$Q$2:$Q$71=E106), (F106="DEV")*GT_Cost_DataSheet_PY2!$T$2:$T$71)+SUMPRODUCT(GT_Cost_DataSheet_PY2!$AB$2:$AB$71, --(GT_Cost_DataSheet_PY2!$Q$2:$Q$71=E106), (F106="COORD")*GT_Cost_DataSheet_PY2!$U$2:$U$71)+SUMPRODUCT(GT_Cost_DataSheet_PY2!$AB$2:$AB$71, --(GT_Cost_DataSheet_PY2!$Q$2:$Q$71=E106), (F106="SUP")*GT_Cost_DataSheet_PY2!$V$2:$V$71)</f>
        <v>5677.2780000000002</v>
      </c>
    </row>
    <row r="107" spans="1:12" s="111" customFormat="1">
      <c r="A107" s="174">
        <v>4.2</v>
      </c>
      <c r="B107" s="117" t="s">
        <v>355</v>
      </c>
      <c r="C107" s="111" t="s">
        <v>356</v>
      </c>
      <c r="D107" s="111" t="s">
        <v>358</v>
      </c>
      <c r="E107" s="119" t="s">
        <v>442</v>
      </c>
      <c r="F107" s="121" t="s">
        <v>302</v>
      </c>
      <c r="G107" s="121" t="s">
        <v>496</v>
      </c>
      <c r="H107" s="121"/>
      <c r="I107" s="123">
        <f>SUMPRODUCT(GT_Cost_DataSheet_PY2!$X$2:$X$71, --(GT_Cost_DataSheet_PY2!$Q$2:$Q$71=E107), (F107="OPS")*GT_Cost_DataSheet_PY2!$R$2:$R$71)+
SUMPRODUCT(GT_Cost_DataSheet_PY2!$X$2:$X$71, --(GT_Cost_DataSheet_PY2!$Q$2:$Q$71=E107), (F107="MAINT")*GT_Cost_DataSheet_PY2!$S$2:$S$71)+
SUMPRODUCT(GT_Cost_DataSheet_PY2!$X$2:$X$71, --(GT_Cost_DataSheet_PY2!$Q$2:$Q$71=E107), (F107="DEV")*GT_Cost_DataSheet_PY2!$T$2:$T$71)+
SUMPRODUCT(GT_Cost_DataSheet_PY2!$X$2:$X$71, --(GT_Cost_DataSheet_PY2!$Q$2:$Q$71=E107), (F107="COORD")*GT_Cost_DataSheet_PY2!$U$2:$U$71)+
SUMPRODUCT(GT_Cost_DataSheet_PY2!$X$2:$X$71, --(GT_Cost_DataSheet_PY2!$Q$2:$Q$71=E107), (F107="SUP")*GT_Cost_DataSheet_PY2!$V$2:$V$71)</f>
        <v>2.0978391356542625</v>
      </c>
      <c r="J107" s="184">
        <f>SUMPRODUCT(GT_Cost_DataSheet_PY2!$AB$2:$AB$71, --(GT_Cost_DataSheet_PY2!$Q$2:$Q$71=E107), (F107="OPS")*GT_Cost_DataSheet_PY2!$R$2:$R$71)+SUMPRODUCT(GT_Cost_DataSheet_PY2!$AB$2:$AB$71, --(GT_Cost_DataSheet_PY2!$Q$2:$Q$71=E107), (F107="MAINT")*GT_Cost_DataSheet_PY2!$S$2:$S$71)+SUMPRODUCT(GT_Cost_DataSheet_PY2!$AB$2:$AB$71, --(GT_Cost_DataSheet_PY2!$Q$2:$Q$71=E107), (F107="DEV")*GT_Cost_DataSheet_PY2!$T$2:$T$71)+SUMPRODUCT(GT_Cost_DataSheet_PY2!$AB$2:$AB$71, --(GT_Cost_DataSheet_PY2!$Q$2:$Q$71=E107), (F107="COORD")*GT_Cost_DataSheet_PY2!$U$2:$U$71)+SUMPRODUCT(GT_Cost_DataSheet_PY2!$AB$2:$AB$71, --(GT_Cost_DataSheet_PY2!$Q$2:$Q$71=E107), (F107="SUP")*GT_Cost_DataSheet_PY2!$V$2:$V$71)</f>
        <v>10709.351999999999</v>
      </c>
    </row>
    <row r="108" spans="1:12" s="111" customFormat="1">
      <c r="A108" s="174">
        <v>4.2</v>
      </c>
      <c r="B108" s="117" t="s">
        <v>355</v>
      </c>
      <c r="C108" s="111" t="s">
        <v>356</v>
      </c>
      <c r="D108" s="24" t="s">
        <v>84</v>
      </c>
      <c r="E108" s="120" t="s">
        <v>503</v>
      </c>
      <c r="F108" s="122" t="s">
        <v>449</v>
      </c>
      <c r="G108" s="121" t="s">
        <v>493</v>
      </c>
      <c r="H108" s="121"/>
      <c r="I108" s="123">
        <f>SUMPRODUCT(GT_Cost_DataSheet_PY2!$X$2:$X$71, --(GT_Cost_DataSheet_PY2!$Q$2:$Q$71=E108), (F108="OPS")*GT_Cost_DataSheet_PY2!$R$2:$R$71)+
SUMPRODUCT(GT_Cost_DataSheet_PY2!$X$2:$X$71, --(GT_Cost_DataSheet_PY2!$Q$2:$Q$71=E108), (F108="MAINT")*GT_Cost_DataSheet_PY2!$S$2:$S$71)+
SUMPRODUCT(GT_Cost_DataSheet_PY2!$X$2:$X$71, --(GT_Cost_DataSheet_PY2!$Q$2:$Q$71=E108), (F108="DEV")*GT_Cost_DataSheet_PY2!$T$2:$T$71)+
SUMPRODUCT(GT_Cost_DataSheet_PY2!$X$2:$X$71, --(GT_Cost_DataSheet_PY2!$Q$2:$Q$71=E108), (F108="COORD")*GT_Cost_DataSheet_PY2!$U$2:$U$71)+
SUMPRODUCT(GT_Cost_DataSheet_PY2!$X$2:$X$71, --(GT_Cost_DataSheet_PY2!$Q$2:$Q$71=E108), (F108="SUP")*GT_Cost_DataSheet_PY2!$V$2:$V$71)</f>
        <v>3.0060000000000007</v>
      </c>
      <c r="J108" s="184">
        <f>SUMPRODUCT(GT_Cost_DataSheet_PY2!$AB$2:$AB$71, --(GT_Cost_DataSheet_PY2!$Q$2:$Q$71=E108), (F108="OPS")*GT_Cost_DataSheet_PY2!$R$2:$R$71)+SUMPRODUCT(GT_Cost_DataSheet_PY2!$AB$2:$AB$71, --(GT_Cost_DataSheet_PY2!$Q$2:$Q$71=E108), (F108="MAINT")*GT_Cost_DataSheet_PY2!$S$2:$S$71)+SUMPRODUCT(GT_Cost_DataSheet_PY2!$AB$2:$AB$71, --(GT_Cost_DataSheet_PY2!$Q$2:$Q$71=E108), (F108="DEV")*GT_Cost_DataSheet_PY2!$T$2:$T$71)+SUMPRODUCT(GT_Cost_DataSheet_PY2!$AB$2:$AB$71, --(GT_Cost_DataSheet_PY2!$Q$2:$Q$71=E108), (F108="COORD")*GT_Cost_DataSheet_PY2!$U$2:$U$71)+SUMPRODUCT(GT_Cost_DataSheet_PY2!$AB$2:$AB$71, --(GT_Cost_DataSheet_PY2!$Q$2:$Q$71=E108), (F108="SUP")*GT_Cost_DataSheet_PY2!$V$2:$V$71)</f>
        <v>13626.074999999999</v>
      </c>
      <c r="K108" s="24"/>
      <c r="L108" s="24"/>
    </row>
    <row r="109" spans="1:12" s="111" customFormat="1">
      <c r="A109" s="174">
        <v>4.2</v>
      </c>
      <c r="B109" s="117" t="s">
        <v>355</v>
      </c>
      <c r="C109" s="111" t="s">
        <v>356</v>
      </c>
      <c r="D109" s="111" t="s">
        <v>476</v>
      </c>
      <c r="E109" s="119" t="s">
        <v>441</v>
      </c>
      <c r="F109" s="121" t="s">
        <v>384</v>
      </c>
      <c r="G109" s="121" t="s">
        <v>412</v>
      </c>
      <c r="H109" s="121"/>
      <c r="I109" s="123">
        <f>SUMPRODUCT(GT_Cost_DataSheet_PY2!$X$2:$X$71, --(GT_Cost_DataSheet_PY2!$Q$2:$Q$71=E109), (F109="OPS")*GT_Cost_DataSheet_PY2!$R$2:$R$71)+
SUMPRODUCT(GT_Cost_DataSheet_PY2!$X$2:$X$71, --(GT_Cost_DataSheet_PY2!$Q$2:$Q$71=E109), (F109="MAINT")*GT_Cost_DataSheet_PY2!$S$2:$S$71)+
SUMPRODUCT(GT_Cost_DataSheet_PY2!$X$2:$X$71, --(GT_Cost_DataSheet_PY2!$Q$2:$Q$71=E109), (F109="DEV")*GT_Cost_DataSheet_PY2!$T$2:$T$71)+
SUMPRODUCT(GT_Cost_DataSheet_PY2!$X$2:$X$71, --(GT_Cost_DataSheet_PY2!$Q$2:$Q$71=E109), (F109="COORD")*GT_Cost_DataSheet_PY2!$U$2:$U$71)+
SUMPRODUCT(GT_Cost_DataSheet_PY2!$X$2:$X$71, --(GT_Cost_DataSheet_PY2!$Q$2:$Q$71=E109), (F109="SUP")*GT_Cost_DataSheet_PY2!$V$2:$V$71)</f>
        <v>3.6580723809523814</v>
      </c>
      <c r="J109" s="184">
        <f>SUMPRODUCT(GT_Cost_DataSheet_PY2!$AB$2:$AB$71, --(GT_Cost_DataSheet_PY2!$Q$2:$Q$71=E109), (F109="OPS")*GT_Cost_DataSheet_PY2!$R$2:$R$71)+SUMPRODUCT(GT_Cost_DataSheet_PY2!$AB$2:$AB$71, --(GT_Cost_DataSheet_PY2!$Q$2:$Q$71=E109), (F109="MAINT")*GT_Cost_DataSheet_PY2!$S$2:$S$71)+SUMPRODUCT(GT_Cost_DataSheet_PY2!$AB$2:$AB$71, --(GT_Cost_DataSheet_PY2!$Q$2:$Q$71=E109), (F109="DEV")*GT_Cost_DataSheet_PY2!$T$2:$T$71)+SUMPRODUCT(GT_Cost_DataSheet_PY2!$AB$2:$AB$71, --(GT_Cost_DataSheet_PY2!$Q$2:$Q$71=E109), (F109="COORD")*GT_Cost_DataSheet_PY2!$U$2:$U$71)+SUMPRODUCT(GT_Cost_DataSheet_PY2!$AB$2:$AB$71, --(GT_Cost_DataSheet_PY2!$Q$2:$Q$71=E109), (F109="SUP")*GT_Cost_DataSheet_PY2!$V$2:$V$71)</f>
        <v>26731.791774299003</v>
      </c>
    </row>
    <row r="110" spans="1:12" s="111" customFormat="1">
      <c r="A110" s="174">
        <v>4.2</v>
      </c>
      <c r="B110" s="117" t="s">
        <v>355</v>
      </c>
      <c r="C110" s="111" t="s">
        <v>356</v>
      </c>
      <c r="D110" s="111" t="s">
        <v>502</v>
      </c>
      <c r="E110" s="119" t="s">
        <v>504</v>
      </c>
      <c r="F110" s="121" t="s">
        <v>449</v>
      </c>
      <c r="G110" s="121" t="s">
        <v>493</v>
      </c>
      <c r="H110" s="121"/>
      <c r="I110" s="123">
        <f>SUMPRODUCT(GT_Cost_DataSheet_PY2!$X$2:$X$71, --(GT_Cost_DataSheet_PY2!$Q$2:$Q$71=E110), (F110="OPS")*GT_Cost_DataSheet_PY2!$R$2:$R$71)+
SUMPRODUCT(GT_Cost_DataSheet_PY2!$X$2:$X$71, --(GT_Cost_DataSheet_PY2!$Q$2:$Q$71=E110), (F110="MAINT")*GT_Cost_DataSheet_PY2!$S$2:$S$71)+
SUMPRODUCT(GT_Cost_DataSheet_PY2!$X$2:$X$71, --(GT_Cost_DataSheet_PY2!$Q$2:$Q$71=E110), (F110="DEV")*GT_Cost_DataSheet_PY2!$T$2:$T$71)+
SUMPRODUCT(GT_Cost_DataSheet_PY2!$X$2:$X$71, --(GT_Cost_DataSheet_PY2!$Q$2:$Q$71=E110), (F110="COORD")*GT_Cost_DataSheet_PY2!$U$2:$U$71)+
SUMPRODUCT(GT_Cost_DataSheet_PY2!$X$2:$X$71, --(GT_Cost_DataSheet_PY2!$Q$2:$Q$71=E110), (F110="SUP")*GT_Cost_DataSheet_PY2!$V$2:$V$71)</f>
        <v>3.7495280050346125</v>
      </c>
      <c r="J110" s="184">
        <f>SUMPRODUCT(GT_Cost_DataSheet_PY2!$AB$2:$AB$71, --(GT_Cost_DataSheet_PY2!$Q$2:$Q$71=E110), (F110="OPS")*GT_Cost_DataSheet_PY2!$R$2:$R$71)+SUMPRODUCT(GT_Cost_DataSheet_PY2!$AB$2:$AB$71, --(GT_Cost_DataSheet_PY2!$Q$2:$Q$71=E110), (F110="MAINT")*GT_Cost_DataSheet_PY2!$S$2:$S$71)+SUMPRODUCT(GT_Cost_DataSheet_PY2!$AB$2:$AB$71, --(GT_Cost_DataSheet_PY2!$Q$2:$Q$71=E110), (F110="DEV")*GT_Cost_DataSheet_PY2!$T$2:$T$71)+SUMPRODUCT(GT_Cost_DataSheet_PY2!$AB$2:$AB$71, --(GT_Cost_DataSheet_PY2!$Q$2:$Q$71=E110), (F110="COORD")*GT_Cost_DataSheet_PY2!$U$2:$U$71)+SUMPRODUCT(GT_Cost_DataSheet_PY2!$AB$2:$AB$71, --(GT_Cost_DataSheet_PY2!$Q$2:$Q$71=E110), (F110="SUP")*GT_Cost_DataSheet_PY2!$V$2:$V$71)</f>
        <v>17031.834000000003</v>
      </c>
    </row>
    <row r="111" spans="1:12" s="111" customFormat="1">
      <c r="A111" s="174">
        <v>4.2</v>
      </c>
      <c r="B111" s="117" t="s">
        <v>355</v>
      </c>
      <c r="C111" s="111" t="s">
        <v>356</v>
      </c>
      <c r="D111" s="111" t="s">
        <v>358</v>
      </c>
      <c r="E111" s="119" t="s">
        <v>442</v>
      </c>
      <c r="F111" s="121" t="s">
        <v>449</v>
      </c>
      <c r="G111" s="121" t="s">
        <v>496</v>
      </c>
      <c r="H111" s="121"/>
      <c r="I111" s="123">
        <f>SUMPRODUCT(GT_Cost_DataSheet_PY2!$X$2:$X$71, --(GT_Cost_DataSheet_PY2!$Q$2:$Q$71=E111), (F111="OPS")*GT_Cost_DataSheet_PY2!$R$2:$R$71)+
SUMPRODUCT(GT_Cost_DataSheet_PY2!$X$2:$X$71, --(GT_Cost_DataSheet_PY2!$Q$2:$Q$71=E111), (F111="MAINT")*GT_Cost_DataSheet_PY2!$S$2:$S$71)+
SUMPRODUCT(GT_Cost_DataSheet_PY2!$X$2:$X$71, --(GT_Cost_DataSheet_PY2!$Q$2:$Q$71=E111), (F111="DEV")*GT_Cost_DataSheet_PY2!$T$2:$T$71)+
SUMPRODUCT(GT_Cost_DataSheet_PY2!$X$2:$X$71, --(GT_Cost_DataSheet_PY2!$Q$2:$Q$71=E111), (F111="COORD")*GT_Cost_DataSheet_PY2!$U$2:$U$71)+
SUMPRODUCT(GT_Cost_DataSheet_PY2!$X$2:$X$71, --(GT_Cost_DataSheet_PY2!$Q$2:$Q$71=E111), (F111="SUP")*GT_Cost_DataSheet_PY2!$V$2:$V$71)</f>
        <v>6.2935174069627875</v>
      </c>
      <c r="J111" s="184">
        <f>SUMPRODUCT(GT_Cost_DataSheet_PY2!$AB$2:$AB$71, --(GT_Cost_DataSheet_PY2!$Q$2:$Q$71=E111), (F111="OPS")*GT_Cost_DataSheet_PY2!$R$2:$R$71)+SUMPRODUCT(GT_Cost_DataSheet_PY2!$AB$2:$AB$71, --(GT_Cost_DataSheet_PY2!$Q$2:$Q$71=E111), (F111="MAINT")*GT_Cost_DataSheet_PY2!$S$2:$S$71)+SUMPRODUCT(GT_Cost_DataSheet_PY2!$AB$2:$AB$71, --(GT_Cost_DataSheet_PY2!$Q$2:$Q$71=E111), (F111="DEV")*GT_Cost_DataSheet_PY2!$T$2:$T$71)+SUMPRODUCT(GT_Cost_DataSheet_PY2!$AB$2:$AB$71, --(GT_Cost_DataSheet_PY2!$Q$2:$Q$71=E111), (F111="COORD")*GT_Cost_DataSheet_PY2!$U$2:$U$71)+SUMPRODUCT(GT_Cost_DataSheet_PY2!$AB$2:$AB$71, --(GT_Cost_DataSheet_PY2!$Q$2:$Q$71=E111), (F111="SUP")*GT_Cost_DataSheet_PY2!$V$2:$V$71)</f>
        <v>32128.055999999997</v>
      </c>
    </row>
    <row r="112" spans="1:12" s="111" customFormat="1">
      <c r="A112" s="174">
        <v>4.2</v>
      </c>
      <c r="B112" s="117" t="s">
        <v>355</v>
      </c>
      <c r="C112" s="111" t="s">
        <v>356</v>
      </c>
      <c r="D112" s="111" t="s">
        <v>476</v>
      </c>
      <c r="E112" s="119" t="s">
        <v>441</v>
      </c>
      <c r="F112" s="121" t="s">
        <v>304</v>
      </c>
      <c r="G112" s="121" t="s">
        <v>493</v>
      </c>
      <c r="H112" s="121"/>
      <c r="I112" s="123">
        <f>SUMPRODUCT(GT_Cost_DataSheet_PY2!$X$2:$X$71, --(GT_Cost_DataSheet_PY2!$Q$2:$Q$71=E112), (F112="OPS")*GT_Cost_DataSheet_PY2!$R$2:$R$71)+
SUMPRODUCT(GT_Cost_DataSheet_PY2!$X$2:$X$71, --(GT_Cost_DataSheet_PY2!$Q$2:$Q$71=E112), (F112="MAINT")*GT_Cost_DataSheet_PY2!$S$2:$S$71)+
SUMPRODUCT(GT_Cost_DataSheet_PY2!$X$2:$X$71, --(GT_Cost_DataSheet_PY2!$Q$2:$Q$71=E112), (F112="DEV")*GT_Cost_DataSheet_PY2!$T$2:$T$71)+
SUMPRODUCT(GT_Cost_DataSheet_PY2!$X$2:$X$71, --(GT_Cost_DataSheet_PY2!$Q$2:$Q$71=E112), (F112="COORD")*GT_Cost_DataSheet_PY2!$U$2:$U$71)+
SUMPRODUCT(GT_Cost_DataSheet_PY2!$X$2:$X$71, --(GT_Cost_DataSheet_PY2!$Q$2:$Q$71=E112), (F112="SUP")*GT_Cost_DataSheet_PY2!$V$2:$V$71)</f>
        <v>14.632289523809526</v>
      </c>
      <c r="J112" s="184">
        <f>SUMPRODUCT(GT_Cost_DataSheet_PY2!$AB$2:$AB$71, --(GT_Cost_DataSheet_PY2!$Q$2:$Q$71=E112), (F112="OPS")*GT_Cost_DataSheet_PY2!$R$2:$R$71)+SUMPRODUCT(GT_Cost_DataSheet_PY2!$AB$2:$AB$71, --(GT_Cost_DataSheet_PY2!$Q$2:$Q$71=E112), (F112="MAINT")*GT_Cost_DataSheet_PY2!$S$2:$S$71)+SUMPRODUCT(GT_Cost_DataSheet_PY2!$AB$2:$AB$71, --(GT_Cost_DataSheet_PY2!$Q$2:$Q$71=E112), (F112="DEV")*GT_Cost_DataSheet_PY2!$T$2:$T$71)+SUMPRODUCT(GT_Cost_DataSheet_PY2!$AB$2:$AB$71, --(GT_Cost_DataSheet_PY2!$Q$2:$Q$71=E112), (F112="COORD")*GT_Cost_DataSheet_PY2!$U$2:$U$71)+SUMPRODUCT(GT_Cost_DataSheet_PY2!$AB$2:$AB$71, --(GT_Cost_DataSheet_PY2!$Q$2:$Q$71=E112), (F112="SUP")*GT_Cost_DataSheet_PY2!$V$2:$V$71)</f>
        <v>106927.16709719601</v>
      </c>
    </row>
    <row r="113" spans="1:10" s="111" customFormat="1">
      <c r="A113" s="174">
        <v>4.3</v>
      </c>
      <c r="B113" s="117" t="s">
        <v>355</v>
      </c>
      <c r="C113" s="111" t="s">
        <v>237</v>
      </c>
      <c r="D113" s="111" t="s">
        <v>237</v>
      </c>
      <c r="E113" s="119" t="s">
        <v>236</v>
      </c>
      <c r="F113" s="121" t="s">
        <v>463</v>
      </c>
      <c r="G113" s="121" t="s">
        <v>496</v>
      </c>
      <c r="H113" s="121"/>
      <c r="I113" s="123">
        <f>SUMPRODUCT(GT_Cost_DataSheet_PY2!$X$2:$X$71, --(GT_Cost_DataSheet_PY2!$Q$2:$Q$71=E113), (F113="OPS")*GT_Cost_DataSheet_PY2!$R$2:$R$71)+
SUMPRODUCT(GT_Cost_DataSheet_PY2!$X$2:$X$71, --(GT_Cost_DataSheet_PY2!$Q$2:$Q$71=E113), (F113="MAINT")*GT_Cost_DataSheet_PY2!$S$2:$S$71)+
SUMPRODUCT(GT_Cost_DataSheet_PY2!$X$2:$X$71, --(GT_Cost_DataSheet_PY2!$Q$2:$Q$71=E113), (F113="DEV")*GT_Cost_DataSheet_PY2!$T$2:$T$71)+
SUMPRODUCT(GT_Cost_DataSheet_PY2!$X$2:$X$71, --(GT_Cost_DataSheet_PY2!$Q$2:$Q$71=E113), (F113="COORD")*GT_Cost_DataSheet_PY2!$U$2:$U$71)+
SUMPRODUCT(GT_Cost_DataSheet_PY2!$X$2:$X$71, --(GT_Cost_DataSheet_PY2!$Q$2:$Q$71=E113), (F113="SUP")*GT_Cost_DataSheet_PY2!$V$2:$V$71)</f>
        <v>0</v>
      </c>
      <c r="J113" s="184">
        <f>SUMPRODUCT(GT_Cost_DataSheet_PY2!$AB$2:$AB$71, --(GT_Cost_DataSheet_PY2!$Q$2:$Q$71=E113), (F113="OPS")*GT_Cost_DataSheet_PY2!$R$2:$R$71)+SUMPRODUCT(GT_Cost_DataSheet_PY2!$AB$2:$AB$71, --(GT_Cost_DataSheet_PY2!$Q$2:$Q$71=E113), (F113="MAINT")*GT_Cost_DataSheet_PY2!$S$2:$S$71)+SUMPRODUCT(GT_Cost_DataSheet_PY2!$AB$2:$AB$71, --(GT_Cost_DataSheet_PY2!$Q$2:$Q$71=E113), (F113="DEV")*GT_Cost_DataSheet_PY2!$T$2:$T$71)+SUMPRODUCT(GT_Cost_DataSheet_PY2!$AB$2:$AB$71, --(GT_Cost_DataSheet_PY2!$Q$2:$Q$71=E113), (F113="COORD")*GT_Cost_DataSheet_PY2!$U$2:$U$71)+SUMPRODUCT(GT_Cost_DataSheet_PY2!$AB$2:$AB$71, --(GT_Cost_DataSheet_PY2!$Q$2:$Q$71=E113), (F113="SUP")*GT_Cost_DataSheet_PY2!$V$2:$V$71)</f>
        <v>0</v>
      </c>
    </row>
    <row r="114" spans="1:10" s="111" customFormat="1">
      <c r="A114" s="174">
        <v>4.3</v>
      </c>
      <c r="B114" s="117" t="s">
        <v>355</v>
      </c>
      <c r="C114" s="111" t="s">
        <v>237</v>
      </c>
      <c r="D114" s="111" t="s">
        <v>237</v>
      </c>
      <c r="E114" s="119" t="s">
        <v>236</v>
      </c>
      <c r="F114" s="121" t="s">
        <v>384</v>
      </c>
      <c r="G114" s="121" t="s">
        <v>496</v>
      </c>
      <c r="H114" s="121"/>
      <c r="I114" s="123">
        <f>SUMPRODUCT(GT_Cost_DataSheet_PY2!$X$2:$X$71, --(GT_Cost_DataSheet_PY2!$Q$2:$Q$71=E114), (F114="OPS")*GT_Cost_DataSheet_PY2!$R$2:$R$71)+
SUMPRODUCT(GT_Cost_DataSheet_PY2!$X$2:$X$71, --(GT_Cost_DataSheet_PY2!$Q$2:$Q$71=E114), (F114="MAINT")*GT_Cost_DataSheet_PY2!$S$2:$S$71)+
SUMPRODUCT(GT_Cost_DataSheet_PY2!$X$2:$X$71, --(GT_Cost_DataSheet_PY2!$Q$2:$Q$71=E114), (F114="DEV")*GT_Cost_DataSheet_PY2!$T$2:$T$71)+
SUMPRODUCT(GT_Cost_DataSheet_PY2!$X$2:$X$71, --(GT_Cost_DataSheet_PY2!$Q$2:$Q$71=E114), (F114="COORD")*GT_Cost_DataSheet_PY2!$U$2:$U$71)+
SUMPRODUCT(GT_Cost_DataSheet_PY2!$X$2:$X$71, --(GT_Cost_DataSheet_PY2!$Q$2:$Q$71=E114), (F114="SUP")*GT_Cost_DataSheet_PY2!$V$2:$V$71)</f>
        <v>1.1910546825895647</v>
      </c>
      <c r="J114" s="184">
        <f>SUMPRODUCT(GT_Cost_DataSheet_PY2!$AB$2:$AB$71, --(GT_Cost_DataSheet_PY2!$Q$2:$Q$71=E114), (F114="OPS")*GT_Cost_DataSheet_PY2!$R$2:$R$71)+SUMPRODUCT(GT_Cost_DataSheet_PY2!$AB$2:$AB$71, --(GT_Cost_DataSheet_PY2!$Q$2:$Q$71=E114), (F114="MAINT")*GT_Cost_DataSheet_PY2!$S$2:$S$71)+SUMPRODUCT(GT_Cost_DataSheet_PY2!$AB$2:$AB$71, --(GT_Cost_DataSheet_PY2!$Q$2:$Q$71=E114), (F114="DEV")*GT_Cost_DataSheet_PY2!$T$2:$T$71)+SUMPRODUCT(GT_Cost_DataSheet_PY2!$AB$2:$AB$71, --(GT_Cost_DataSheet_PY2!$Q$2:$Q$71=E114), (F114="COORD")*GT_Cost_DataSheet_PY2!$U$2:$U$71)+SUMPRODUCT(GT_Cost_DataSheet_PY2!$AB$2:$AB$71, --(GT_Cost_DataSheet_PY2!$Q$2:$Q$71=E114), (F114="SUP")*GT_Cost_DataSheet_PY2!$V$2:$V$71)</f>
        <v>6840.9942000000001</v>
      </c>
    </row>
    <row r="115" spans="1:10" s="111" customFormat="1">
      <c r="A115" s="174">
        <v>4.3</v>
      </c>
      <c r="B115" s="117" t="s">
        <v>355</v>
      </c>
      <c r="C115" s="111" t="s">
        <v>237</v>
      </c>
      <c r="D115" s="111" t="s">
        <v>237</v>
      </c>
      <c r="E115" s="119" t="s">
        <v>236</v>
      </c>
      <c r="F115" s="121" t="s">
        <v>304</v>
      </c>
      <c r="G115" s="121" t="s">
        <v>496</v>
      </c>
      <c r="H115" s="121"/>
      <c r="I115" s="123">
        <f>SUMPRODUCT(GT_Cost_DataSheet_PY2!$X$2:$X$71, --(GT_Cost_DataSheet_PY2!$Q$2:$Q$71=E115), (F115="OPS")*GT_Cost_DataSheet_PY2!$R$2:$R$71)+
SUMPRODUCT(GT_Cost_DataSheet_PY2!$X$2:$X$71, --(GT_Cost_DataSheet_PY2!$Q$2:$Q$71=E115), (F115="MAINT")*GT_Cost_DataSheet_PY2!$S$2:$S$71)+
SUMPRODUCT(GT_Cost_DataSheet_PY2!$X$2:$X$71, --(GT_Cost_DataSheet_PY2!$Q$2:$Q$71=E115), (F115="DEV")*GT_Cost_DataSheet_PY2!$T$2:$T$71)+
SUMPRODUCT(GT_Cost_DataSheet_PY2!$X$2:$X$71, --(GT_Cost_DataSheet_PY2!$Q$2:$Q$71=E115), (F115="COORD")*GT_Cost_DataSheet_PY2!$U$2:$U$71)+
SUMPRODUCT(GT_Cost_DataSheet_PY2!$X$2:$X$71, --(GT_Cost_DataSheet_PY2!$Q$2:$Q$71=E115), (F115="SUP")*GT_Cost_DataSheet_PY2!$V$2:$V$71)</f>
        <v>4.7642187303582588</v>
      </c>
      <c r="J115" s="184">
        <f>SUMPRODUCT(GT_Cost_DataSheet_PY2!$AB$2:$AB$71, --(GT_Cost_DataSheet_PY2!$Q$2:$Q$71=E115), (F115="OPS")*GT_Cost_DataSheet_PY2!$R$2:$R$71)+SUMPRODUCT(GT_Cost_DataSheet_PY2!$AB$2:$AB$71, --(GT_Cost_DataSheet_PY2!$Q$2:$Q$71=E115), (F115="MAINT")*GT_Cost_DataSheet_PY2!$S$2:$S$71)+SUMPRODUCT(GT_Cost_DataSheet_PY2!$AB$2:$AB$71, --(GT_Cost_DataSheet_PY2!$Q$2:$Q$71=E115), (F115="DEV")*GT_Cost_DataSheet_PY2!$T$2:$T$71)+SUMPRODUCT(GT_Cost_DataSheet_PY2!$AB$2:$AB$71, --(GT_Cost_DataSheet_PY2!$Q$2:$Q$71=E115), (F115="COORD")*GT_Cost_DataSheet_PY2!$U$2:$U$71)+SUMPRODUCT(GT_Cost_DataSheet_PY2!$AB$2:$AB$71, --(GT_Cost_DataSheet_PY2!$Q$2:$Q$71=E115), (F115="SUP")*GT_Cost_DataSheet_PY2!$V$2:$V$71)</f>
        <v>27363.9768</v>
      </c>
    </row>
    <row r="116" spans="1:10" s="111" customFormat="1">
      <c r="A116" s="174">
        <v>5.0999999999999996</v>
      </c>
      <c r="B116" s="117" t="s">
        <v>359</v>
      </c>
      <c r="C116" s="111" t="s">
        <v>408</v>
      </c>
      <c r="D116" s="94" t="s">
        <v>407</v>
      </c>
      <c r="E116" s="119" t="s">
        <v>376</v>
      </c>
      <c r="F116" s="121" t="s">
        <v>463</v>
      </c>
      <c r="G116" s="121" t="s">
        <v>496</v>
      </c>
      <c r="H116" s="121"/>
      <c r="I116" s="123">
        <f>SUMPRODUCT(GT_Cost_DataSheet_PY2!$X$2:$X$71, --(GT_Cost_DataSheet_PY2!$Q$2:$Q$71=E116), (F116="OPS")*GT_Cost_DataSheet_PY2!$R$2:$R$71)+
SUMPRODUCT(GT_Cost_DataSheet_PY2!$X$2:$X$71, --(GT_Cost_DataSheet_PY2!$Q$2:$Q$71=E116), (F116="MAINT")*GT_Cost_DataSheet_PY2!$S$2:$S$71)+
SUMPRODUCT(GT_Cost_DataSheet_PY2!$X$2:$X$71, --(GT_Cost_DataSheet_PY2!$Q$2:$Q$71=E116), (F116="DEV")*GT_Cost_DataSheet_PY2!$T$2:$T$71)+
SUMPRODUCT(GT_Cost_DataSheet_PY2!$X$2:$X$71, --(GT_Cost_DataSheet_PY2!$Q$2:$Q$71=E116), (F116="COORD")*GT_Cost_DataSheet_PY2!$U$2:$U$71)+
SUMPRODUCT(GT_Cost_DataSheet_PY2!$X$2:$X$71, --(GT_Cost_DataSheet_PY2!$Q$2:$Q$71=E116), (F116="SUP")*GT_Cost_DataSheet_PY2!$V$2:$V$71)</f>
        <v>0</v>
      </c>
      <c r="J116" s="184">
        <f>SUMPRODUCT(GT_Cost_DataSheet_PY2!$AB$2:$AB$71, --(GT_Cost_DataSheet_PY2!$Q$2:$Q$71=E116), (F116="OPS")*GT_Cost_DataSheet_PY2!$R$2:$R$71)+SUMPRODUCT(GT_Cost_DataSheet_PY2!$AB$2:$AB$71, --(GT_Cost_DataSheet_PY2!$Q$2:$Q$71=E116), (F116="MAINT")*GT_Cost_DataSheet_PY2!$S$2:$S$71)+SUMPRODUCT(GT_Cost_DataSheet_PY2!$AB$2:$AB$71, --(GT_Cost_DataSheet_PY2!$Q$2:$Q$71=E116), (F116="DEV")*GT_Cost_DataSheet_PY2!$T$2:$T$71)+SUMPRODUCT(GT_Cost_DataSheet_PY2!$AB$2:$AB$71, --(GT_Cost_DataSheet_PY2!$Q$2:$Q$71=E116), (F116="COORD")*GT_Cost_DataSheet_PY2!$U$2:$U$71)+SUMPRODUCT(GT_Cost_DataSheet_PY2!$AB$2:$AB$71, --(GT_Cost_DataSheet_PY2!$Q$2:$Q$71=E116), (F116="SUP")*GT_Cost_DataSheet_PY2!$V$2:$V$71)</f>
        <v>0</v>
      </c>
    </row>
    <row r="117" spans="1:10" s="111" customFormat="1">
      <c r="A117" s="174">
        <v>5.0999999999999996</v>
      </c>
      <c r="B117" s="158" t="s">
        <v>359</v>
      </c>
      <c r="C117" s="22" t="s">
        <v>408</v>
      </c>
      <c r="D117" s="22" t="s">
        <v>364</v>
      </c>
      <c r="E117" s="159" t="s">
        <v>445</v>
      </c>
      <c r="F117" s="160" t="s">
        <v>304</v>
      </c>
      <c r="G117" s="160" t="s">
        <v>493</v>
      </c>
      <c r="H117" s="160"/>
      <c r="I117" s="161">
        <f>SUMPRODUCT(GT_Cost_DataSheet_PY2!$X$2:$X$71, --(GT_Cost_DataSheet_PY2!$Q$2:$Q$71=E117), (F117="OPS")*GT_Cost_DataSheet_PY2!$R$2:$R$71)+
SUMPRODUCT(GT_Cost_DataSheet_PY2!$X$2:$X$71, --(GT_Cost_DataSheet_PY2!$Q$2:$Q$71=E117), (F117="MAINT")*GT_Cost_DataSheet_PY2!$S$2:$S$71)+
SUMPRODUCT(GT_Cost_DataSheet_PY2!$X$2:$X$71, --(GT_Cost_DataSheet_PY2!$Q$2:$Q$71=E117), (F117="DEV")*GT_Cost_DataSheet_PY2!$T$2:$T$71)+
SUMPRODUCT(GT_Cost_DataSheet_PY2!$X$2:$X$71, --(GT_Cost_DataSheet_PY2!$Q$2:$Q$71=E117), (F117="COORD")*GT_Cost_DataSheet_PY2!$U$2:$U$71)+
SUMPRODUCT(GT_Cost_DataSheet_PY2!$X$2:$X$71, --(GT_Cost_DataSheet_PY2!$Q$2:$Q$71=E117), (F117="SUP")*GT_Cost_DataSheet_PY2!$V$2:$V$71)</f>
        <v>0</v>
      </c>
      <c r="J117" s="185">
        <f>SUMPRODUCT(GT_Cost_DataSheet_PY2!$AB$2:$AB$71, --(GT_Cost_DataSheet_PY2!$Q$2:$Q$71=E117), (F117="OPS")*GT_Cost_DataSheet_PY2!$R$2:$R$71)+SUMPRODUCT(GT_Cost_DataSheet_PY2!$AB$2:$AB$71, --(GT_Cost_DataSheet_PY2!$Q$2:$Q$71=E117), (F117="MAINT")*GT_Cost_DataSheet_PY2!$S$2:$S$71)+SUMPRODUCT(GT_Cost_DataSheet_PY2!$AB$2:$AB$71, --(GT_Cost_DataSheet_PY2!$Q$2:$Q$71=E117), (F117="DEV")*GT_Cost_DataSheet_PY2!$T$2:$T$71)+SUMPRODUCT(GT_Cost_DataSheet_PY2!$AB$2:$AB$71, --(GT_Cost_DataSheet_PY2!$Q$2:$Q$71=E117), (F117="COORD")*GT_Cost_DataSheet_PY2!$U$2:$U$71)+SUMPRODUCT(GT_Cost_DataSheet_PY2!$AB$2:$AB$71, --(GT_Cost_DataSheet_PY2!$Q$2:$Q$71=E117), (F117="SUP")*GT_Cost_DataSheet_PY2!$V$2:$V$71)</f>
        <v>0</v>
      </c>
    </row>
    <row r="118" spans="1:10" s="111" customFormat="1">
      <c r="A118" s="174">
        <v>5.0999999999999996</v>
      </c>
      <c r="B118" s="158" t="s">
        <v>359</v>
      </c>
      <c r="C118" s="22" t="s">
        <v>408</v>
      </c>
      <c r="D118" s="22" t="s">
        <v>364</v>
      </c>
      <c r="E118" s="159" t="s">
        <v>445</v>
      </c>
      <c r="F118" s="160" t="s">
        <v>463</v>
      </c>
      <c r="G118" s="160" t="s">
        <v>493</v>
      </c>
      <c r="H118" s="160"/>
      <c r="I118" s="161">
        <f>SUMPRODUCT(GT_Cost_DataSheet_PY2!$X$2:$X$71, --(GT_Cost_DataSheet_PY2!$Q$2:$Q$71=E118), (F118="OPS")*GT_Cost_DataSheet_PY2!$R$2:$R$71)+
SUMPRODUCT(GT_Cost_DataSheet_PY2!$X$2:$X$71, --(GT_Cost_DataSheet_PY2!$Q$2:$Q$71=E118), (F118="MAINT")*GT_Cost_DataSheet_PY2!$S$2:$S$71)+
SUMPRODUCT(GT_Cost_DataSheet_PY2!$X$2:$X$71, --(GT_Cost_DataSheet_PY2!$Q$2:$Q$71=E118), (F118="DEV")*GT_Cost_DataSheet_PY2!$T$2:$T$71)+
SUMPRODUCT(GT_Cost_DataSheet_PY2!$X$2:$X$71, --(GT_Cost_DataSheet_PY2!$Q$2:$Q$71=E118), (F118="COORD")*GT_Cost_DataSheet_PY2!$U$2:$U$71)+
SUMPRODUCT(GT_Cost_DataSheet_PY2!$X$2:$X$71, --(GT_Cost_DataSheet_PY2!$Q$2:$Q$71=E118), (F118="SUP")*GT_Cost_DataSheet_PY2!$V$2:$V$71)</f>
        <v>0</v>
      </c>
      <c r="J118" s="185">
        <f>SUMPRODUCT(GT_Cost_DataSheet_PY2!$AB$2:$AB$71, --(GT_Cost_DataSheet_PY2!$Q$2:$Q$71=E118), (F118="OPS")*GT_Cost_DataSheet_PY2!$R$2:$R$71)+SUMPRODUCT(GT_Cost_DataSheet_PY2!$AB$2:$AB$71, --(GT_Cost_DataSheet_PY2!$Q$2:$Q$71=E118), (F118="MAINT")*GT_Cost_DataSheet_PY2!$S$2:$S$71)+SUMPRODUCT(GT_Cost_DataSheet_PY2!$AB$2:$AB$71, --(GT_Cost_DataSheet_PY2!$Q$2:$Q$71=E118), (F118="DEV")*GT_Cost_DataSheet_PY2!$T$2:$T$71)+SUMPRODUCT(GT_Cost_DataSheet_PY2!$AB$2:$AB$71, --(GT_Cost_DataSheet_PY2!$Q$2:$Q$71=E118), (F118="COORD")*GT_Cost_DataSheet_PY2!$U$2:$U$71)+SUMPRODUCT(GT_Cost_DataSheet_PY2!$AB$2:$AB$71, --(GT_Cost_DataSheet_PY2!$Q$2:$Q$71=E118), (F118="SUP")*GT_Cost_DataSheet_PY2!$V$2:$V$71)</f>
        <v>0</v>
      </c>
    </row>
    <row r="119" spans="1:10" s="111" customFormat="1">
      <c r="A119" s="174">
        <v>5.0999999999999996</v>
      </c>
      <c r="B119" s="158" t="s">
        <v>359</v>
      </c>
      <c r="C119" s="22" t="s">
        <v>408</v>
      </c>
      <c r="D119" s="22" t="s">
        <v>364</v>
      </c>
      <c r="E119" s="159" t="s">
        <v>445</v>
      </c>
      <c r="F119" s="160" t="s">
        <v>384</v>
      </c>
      <c r="G119" s="160" t="s">
        <v>493</v>
      </c>
      <c r="H119" s="160"/>
      <c r="I119" s="161">
        <f>SUMPRODUCT(GT_Cost_DataSheet_PY2!$X$2:$X$71, --(GT_Cost_DataSheet_PY2!$Q$2:$Q$71=E119), (F119="OPS")*GT_Cost_DataSheet_PY2!$R$2:$R$71)+
SUMPRODUCT(GT_Cost_DataSheet_PY2!$X$2:$X$71, --(GT_Cost_DataSheet_PY2!$Q$2:$Q$71=E119), (F119="MAINT")*GT_Cost_DataSheet_PY2!$S$2:$S$71)+
SUMPRODUCT(GT_Cost_DataSheet_PY2!$X$2:$X$71, --(GT_Cost_DataSheet_PY2!$Q$2:$Q$71=E119), (F119="DEV")*GT_Cost_DataSheet_PY2!$T$2:$T$71)+
SUMPRODUCT(GT_Cost_DataSheet_PY2!$X$2:$X$71, --(GT_Cost_DataSheet_PY2!$Q$2:$Q$71=E119), (F119="COORD")*GT_Cost_DataSheet_PY2!$U$2:$U$71)+
SUMPRODUCT(GT_Cost_DataSheet_PY2!$X$2:$X$71, --(GT_Cost_DataSheet_PY2!$Q$2:$Q$71=E119), (F119="SUP")*GT_Cost_DataSheet_PY2!$V$2:$V$71)</f>
        <v>0</v>
      </c>
      <c r="J119" s="185">
        <f>SUMPRODUCT(GT_Cost_DataSheet_PY2!$AB$2:$AB$71, --(GT_Cost_DataSheet_PY2!$Q$2:$Q$71=E119), (F119="OPS")*GT_Cost_DataSheet_PY2!$R$2:$R$71)+SUMPRODUCT(GT_Cost_DataSheet_PY2!$AB$2:$AB$71, --(GT_Cost_DataSheet_PY2!$Q$2:$Q$71=E119), (F119="MAINT")*GT_Cost_DataSheet_PY2!$S$2:$S$71)+SUMPRODUCT(GT_Cost_DataSheet_PY2!$AB$2:$AB$71, --(GT_Cost_DataSheet_PY2!$Q$2:$Q$71=E119), (F119="DEV")*GT_Cost_DataSheet_PY2!$T$2:$T$71)+SUMPRODUCT(GT_Cost_DataSheet_PY2!$AB$2:$AB$71, --(GT_Cost_DataSheet_PY2!$Q$2:$Q$71=E119), (F119="COORD")*GT_Cost_DataSheet_PY2!$U$2:$U$71)+SUMPRODUCT(GT_Cost_DataSheet_PY2!$AB$2:$AB$71, --(GT_Cost_DataSheet_PY2!$Q$2:$Q$71=E119), (F119="SUP")*GT_Cost_DataSheet_PY2!$V$2:$V$71)</f>
        <v>0</v>
      </c>
    </row>
    <row r="120" spans="1:10" s="111" customFormat="1">
      <c r="A120" s="174">
        <v>5.0999999999999996</v>
      </c>
      <c r="B120" s="117" t="s">
        <v>359</v>
      </c>
      <c r="C120" s="111" t="s">
        <v>408</v>
      </c>
      <c r="D120" s="111" t="s">
        <v>340</v>
      </c>
      <c r="E120" s="119" t="s">
        <v>367</v>
      </c>
      <c r="F120" s="121" t="s">
        <v>463</v>
      </c>
      <c r="G120" s="121" t="s">
        <v>412</v>
      </c>
      <c r="H120" s="121"/>
      <c r="I120" s="123">
        <f>SUMPRODUCT(GT_Cost_DataSheet_PY2!$X$2:$X$71, --(GT_Cost_DataSheet_PY2!$Q$2:$Q$71=E120), (F120="OPS")*GT_Cost_DataSheet_PY2!$R$2:$R$71)+
SUMPRODUCT(GT_Cost_DataSheet_PY2!$X$2:$X$71, --(GT_Cost_DataSheet_PY2!$Q$2:$Q$71=E120), (F120="MAINT")*GT_Cost_DataSheet_PY2!$S$2:$S$71)+
SUMPRODUCT(GT_Cost_DataSheet_PY2!$X$2:$X$71, --(GT_Cost_DataSheet_PY2!$Q$2:$Q$71=E120), (F120="DEV")*GT_Cost_DataSheet_PY2!$T$2:$T$71)+
SUMPRODUCT(GT_Cost_DataSheet_PY2!$X$2:$X$71, --(GT_Cost_DataSheet_PY2!$Q$2:$Q$71=E120), (F120="COORD")*GT_Cost_DataSheet_PY2!$U$2:$U$71)+
SUMPRODUCT(GT_Cost_DataSheet_PY2!$X$2:$X$71, --(GT_Cost_DataSheet_PY2!$Q$2:$Q$71=E120), (F120="SUP")*GT_Cost_DataSheet_PY2!$V$2:$V$71)</f>
        <v>0</v>
      </c>
      <c r="J120" s="184">
        <f>SUMPRODUCT(GT_Cost_DataSheet_PY2!$AB$2:$AB$71, --(GT_Cost_DataSheet_PY2!$Q$2:$Q$71=E120), (F120="OPS")*GT_Cost_DataSheet_PY2!$R$2:$R$71)+SUMPRODUCT(GT_Cost_DataSheet_PY2!$AB$2:$AB$71, --(GT_Cost_DataSheet_PY2!$Q$2:$Q$71=E120), (F120="MAINT")*GT_Cost_DataSheet_PY2!$S$2:$S$71)+SUMPRODUCT(GT_Cost_DataSheet_PY2!$AB$2:$AB$71, --(GT_Cost_DataSheet_PY2!$Q$2:$Q$71=E120), (F120="DEV")*GT_Cost_DataSheet_PY2!$T$2:$T$71)+SUMPRODUCT(GT_Cost_DataSheet_PY2!$AB$2:$AB$71, --(GT_Cost_DataSheet_PY2!$Q$2:$Q$71=E120), (F120="COORD")*GT_Cost_DataSheet_PY2!$U$2:$U$71)+SUMPRODUCT(GT_Cost_DataSheet_PY2!$AB$2:$AB$71, --(GT_Cost_DataSheet_PY2!$Q$2:$Q$71=E120), (F120="SUP")*GT_Cost_DataSheet_PY2!$V$2:$V$71)</f>
        <v>0</v>
      </c>
    </row>
    <row r="121" spans="1:10" s="111" customFormat="1">
      <c r="A121" s="174">
        <v>5.0999999999999996</v>
      </c>
      <c r="B121" s="117" t="s">
        <v>359</v>
      </c>
      <c r="C121" s="111" t="s">
        <v>408</v>
      </c>
      <c r="D121" s="111" t="s">
        <v>340</v>
      </c>
      <c r="E121" s="119" t="s">
        <v>367</v>
      </c>
      <c r="F121" s="121" t="s">
        <v>304</v>
      </c>
      <c r="G121" s="121" t="s">
        <v>493</v>
      </c>
      <c r="H121" s="121"/>
      <c r="I121" s="123">
        <f>SUMPRODUCT(GT_Cost_DataSheet_PY2!$X$2:$X$71, --(GT_Cost_DataSheet_PY2!$Q$2:$Q$71=E121), (F121="OPS")*GT_Cost_DataSheet_PY2!$R$2:$R$71)+
SUMPRODUCT(GT_Cost_DataSheet_PY2!$X$2:$X$71, --(GT_Cost_DataSheet_PY2!$Q$2:$Q$71=E121), (F121="MAINT")*GT_Cost_DataSheet_PY2!$S$2:$S$71)+
SUMPRODUCT(GT_Cost_DataSheet_PY2!$X$2:$X$71, --(GT_Cost_DataSheet_PY2!$Q$2:$Q$71=E121), (F121="DEV")*GT_Cost_DataSheet_PY2!$T$2:$T$71)+
SUMPRODUCT(GT_Cost_DataSheet_PY2!$X$2:$X$71, --(GT_Cost_DataSheet_PY2!$Q$2:$Q$71=E121), (F121="COORD")*GT_Cost_DataSheet_PY2!$U$2:$U$71)+
SUMPRODUCT(GT_Cost_DataSheet_PY2!$X$2:$X$71, --(GT_Cost_DataSheet_PY2!$Q$2:$Q$71=E121), (F121="SUP")*GT_Cost_DataSheet_PY2!$V$2:$V$71)</f>
        <v>0</v>
      </c>
      <c r="J121" s="184">
        <f>SUMPRODUCT(GT_Cost_DataSheet_PY2!$AB$2:$AB$71, --(GT_Cost_DataSheet_PY2!$Q$2:$Q$71=E121), (F121="OPS")*GT_Cost_DataSheet_PY2!$R$2:$R$71)+SUMPRODUCT(GT_Cost_DataSheet_PY2!$AB$2:$AB$71, --(GT_Cost_DataSheet_PY2!$Q$2:$Q$71=E121), (F121="MAINT")*GT_Cost_DataSheet_PY2!$S$2:$S$71)+SUMPRODUCT(GT_Cost_DataSheet_PY2!$AB$2:$AB$71, --(GT_Cost_DataSheet_PY2!$Q$2:$Q$71=E121), (F121="DEV")*GT_Cost_DataSheet_PY2!$T$2:$T$71)+SUMPRODUCT(GT_Cost_DataSheet_PY2!$AB$2:$AB$71, --(GT_Cost_DataSheet_PY2!$Q$2:$Q$71=E121), (F121="COORD")*GT_Cost_DataSheet_PY2!$U$2:$U$71)+SUMPRODUCT(GT_Cost_DataSheet_PY2!$AB$2:$AB$71, --(GT_Cost_DataSheet_PY2!$Q$2:$Q$71=E121), (F121="SUP")*GT_Cost_DataSheet_PY2!$V$2:$V$71)</f>
        <v>0</v>
      </c>
    </row>
    <row r="122" spans="1:10" s="111" customFormat="1">
      <c r="A122" s="174">
        <v>5.0999999999999996</v>
      </c>
      <c r="B122" s="117" t="s">
        <v>359</v>
      </c>
      <c r="C122" s="111" t="s">
        <v>408</v>
      </c>
      <c r="D122" s="111" t="s">
        <v>149</v>
      </c>
      <c r="E122" s="119" t="s">
        <v>305</v>
      </c>
      <c r="F122" s="121" t="s">
        <v>304</v>
      </c>
      <c r="G122" s="121" t="s">
        <v>493</v>
      </c>
      <c r="H122" s="121"/>
      <c r="I122" s="123">
        <f>SUMPRODUCT(GT_Cost_DataSheet_PY2!$X$2:$X$71, --(GT_Cost_DataSheet_PY2!$Q$2:$Q$71=E122), (F122="OPS")*GT_Cost_DataSheet_PY2!$R$2:$R$71)+
SUMPRODUCT(GT_Cost_DataSheet_PY2!$X$2:$X$71, --(GT_Cost_DataSheet_PY2!$Q$2:$Q$71=E122), (F122="MAINT")*GT_Cost_DataSheet_PY2!$S$2:$S$71)+
SUMPRODUCT(GT_Cost_DataSheet_PY2!$X$2:$X$71, --(GT_Cost_DataSheet_PY2!$Q$2:$Q$71=E122), (F122="DEV")*GT_Cost_DataSheet_PY2!$T$2:$T$71)+
SUMPRODUCT(GT_Cost_DataSheet_PY2!$X$2:$X$71, --(GT_Cost_DataSheet_PY2!$Q$2:$Q$71=E122), (F122="COORD")*GT_Cost_DataSheet_PY2!$U$2:$U$71)+
SUMPRODUCT(GT_Cost_DataSheet_PY2!$X$2:$X$71, --(GT_Cost_DataSheet_PY2!$Q$2:$Q$71=E122), (F122="SUP")*GT_Cost_DataSheet_PY2!$V$2:$V$71)</f>
        <v>0</v>
      </c>
      <c r="J122" s="184">
        <f>SUMPRODUCT(GT_Cost_DataSheet_PY2!$AB$2:$AB$71, --(GT_Cost_DataSheet_PY2!$Q$2:$Q$71=E122), (F122="OPS")*GT_Cost_DataSheet_PY2!$R$2:$R$71)+SUMPRODUCT(GT_Cost_DataSheet_PY2!$AB$2:$AB$71, --(GT_Cost_DataSheet_PY2!$Q$2:$Q$71=E122), (F122="MAINT")*GT_Cost_DataSheet_PY2!$S$2:$S$71)+SUMPRODUCT(GT_Cost_DataSheet_PY2!$AB$2:$AB$71, --(GT_Cost_DataSheet_PY2!$Q$2:$Q$71=E122), (F122="DEV")*GT_Cost_DataSheet_PY2!$T$2:$T$71)+SUMPRODUCT(GT_Cost_DataSheet_PY2!$AB$2:$AB$71, --(GT_Cost_DataSheet_PY2!$Q$2:$Q$71=E122), (F122="COORD")*GT_Cost_DataSheet_PY2!$U$2:$U$71)+SUMPRODUCT(GT_Cost_DataSheet_PY2!$AB$2:$AB$71, --(GT_Cost_DataSheet_PY2!$Q$2:$Q$71=E122), (F122="SUP")*GT_Cost_DataSheet_PY2!$V$2:$V$71)</f>
        <v>0</v>
      </c>
    </row>
    <row r="123" spans="1:10" s="111" customFormat="1">
      <c r="A123" s="174">
        <v>5.0999999999999996</v>
      </c>
      <c r="B123" s="117" t="s">
        <v>359</v>
      </c>
      <c r="C123" s="111" t="s">
        <v>408</v>
      </c>
      <c r="D123" s="111" t="s">
        <v>240</v>
      </c>
      <c r="E123" s="119" t="s">
        <v>241</v>
      </c>
      <c r="F123" s="121" t="s">
        <v>384</v>
      </c>
      <c r="G123" s="121" t="s">
        <v>496</v>
      </c>
      <c r="H123" s="121"/>
      <c r="I123" s="123">
        <f>SUMPRODUCT(GT_Cost_DataSheet_PY2!$X$2:$X$71, --(GT_Cost_DataSheet_PY2!$Q$2:$Q$71=E123), (F123="OPS")*GT_Cost_DataSheet_PY2!$R$2:$R$71)+
SUMPRODUCT(GT_Cost_DataSheet_PY2!$X$2:$X$71, --(GT_Cost_DataSheet_PY2!$Q$2:$Q$71=E123), (F123="MAINT")*GT_Cost_DataSheet_PY2!$S$2:$S$71)+
SUMPRODUCT(GT_Cost_DataSheet_PY2!$X$2:$X$71, --(GT_Cost_DataSheet_PY2!$Q$2:$Q$71=E123), (F123="DEV")*GT_Cost_DataSheet_PY2!$T$2:$T$71)+
SUMPRODUCT(GT_Cost_DataSheet_PY2!$X$2:$X$71, --(GT_Cost_DataSheet_PY2!$Q$2:$Q$71=E123), (F123="COORD")*GT_Cost_DataSheet_PY2!$U$2:$U$71)+
SUMPRODUCT(GT_Cost_DataSheet_PY2!$X$2:$X$71, --(GT_Cost_DataSheet_PY2!$Q$2:$Q$71=E123), (F123="SUP")*GT_Cost_DataSheet_PY2!$V$2:$V$71)</f>
        <v>0</v>
      </c>
      <c r="J123" s="184">
        <f>SUMPRODUCT(GT_Cost_DataSheet_PY2!$AB$2:$AB$71, --(GT_Cost_DataSheet_PY2!$Q$2:$Q$71=E123), (F123="OPS")*GT_Cost_DataSheet_PY2!$R$2:$R$71)+SUMPRODUCT(GT_Cost_DataSheet_PY2!$AB$2:$AB$71, --(GT_Cost_DataSheet_PY2!$Q$2:$Q$71=E123), (F123="MAINT")*GT_Cost_DataSheet_PY2!$S$2:$S$71)+SUMPRODUCT(GT_Cost_DataSheet_PY2!$AB$2:$AB$71, --(GT_Cost_DataSheet_PY2!$Q$2:$Q$71=E123), (F123="DEV")*GT_Cost_DataSheet_PY2!$T$2:$T$71)+SUMPRODUCT(GT_Cost_DataSheet_PY2!$AB$2:$AB$71, --(GT_Cost_DataSheet_PY2!$Q$2:$Q$71=E123), (F123="COORD")*GT_Cost_DataSheet_PY2!$U$2:$U$71)+SUMPRODUCT(GT_Cost_DataSheet_PY2!$AB$2:$AB$71, --(GT_Cost_DataSheet_PY2!$Q$2:$Q$71=E123), (F123="SUP")*GT_Cost_DataSheet_PY2!$V$2:$V$71)</f>
        <v>0</v>
      </c>
    </row>
    <row r="124" spans="1:10" s="111" customFormat="1">
      <c r="A124" s="174">
        <v>5.0999999999999996</v>
      </c>
      <c r="B124" s="158" t="s">
        <v>359</v>
      </c>
      <c r="C124" s="22" t="s">
        <v>408</v>
      </c>
      <c r="D124" s="22" t="s">
        <v>361</v>
      </c>
      <c r="E124" s="159" t="s">
        <v>443</v>
      </c>
      <c r="F124" s="160" t="s">
        <v>304</v>
      </c>
      <c r="G124" s="160" t="s">
        <v>493</v>
      </c>
      <c r="H124" s="160"/>
      <c r="I124" s="161">
        <f>SUMPRODUCT(GT_Cost_DataSheet_PY2!$X$2:$X$71, --(GT_Cost_DataSheet_PY2!$Q$2:$Q$71=E124), (F124="OPS")*GT_Cost_DataSheet_PY2!$R$2:$R$71)+
SUMPRODUCT(GT_Cost_DataSheet_PY2!$X$2:$X$71, --(GT_Cost_DataSheet_PY2!$Q$2:$Q$71=E124), (F124="MAINT")*GT_Cost_DataSheet_PY2!$S$2:$S$71)+
SUMPRODUCT(GT_Cost_DataSheet_PY2!$X$2:$X$71, --(GT_Cost_DataSheet_PY2!$Q$2:$Q$71=E124), (F124="DEV")*GT_Cost_DataSheet_PY2!$T$2:$T$71)+
SUMPRODUCT(GT_Cost_DataSheet_PY2!$X$2:$X$71, --(GT_Cost_DataSheet_PY2!$Q$2:$Q$71=E124), (F124="COORD")*GT_Cost_DataSheet_PY2!$U$2:$U$71)+
SUMPRODUCT(GT_Cost_DataSheet_PY2!$X$2:$X$71, --(GT_Cost_DataSheet_PY2!$Q$2:$Q$71=E124), (F124="SUP")*GT_Cost_DataSheet_PY2!$V$2:$V$71)</f>
        <v>0</v>
      </c>
      <c r="J124" s="185">
        <f>SUMPRODUCT(GT_Cost_DataSheet_PY2!$AB$2:$AB$71, --(GT_Cost_DataSheet_PY2!$Q$2:$Q$71=E124), (F124="OPS")*GT_Cost_DataSheet_PY2!$R$2:$R$71)+SUMPRODUCT(GT_Cost_DataSheet_PY2!$AB$2:$AB$71, --(GT_Cost_DataSheet_PY2!$Q$2:$Q$71=E124), (F124="MAINT")*GT_Cost_DataSheet_PY2!$S$2:$S$71)+SUMPRODUCT(GT_Cost_DataSheet_PY2!$AB$2:$AB$71, --(GT_Cost_DataSheet_PY2!$Q$2:$Q$71=E124), (F124="DEV")*GT_Cost_DataSheet_PY2!$T$2:$T$71)+SUMPRODUCT(GT_Cost_DataSheet_PY2!$AB$2:$AB$71, --(GT_Cost_DataSheet_PY2!$Q$2:$Q$71=E124), (F124="COORD")*GT_Cost_DataSheet_PY2!$U$2:$U$71)+SUMPRODUCT(GT_Cost_DataSheet_PY2!$AB$2:$AB$71, --(GT_Cost_DataSheet_PY2!$Q$2:$Q$71=E124), (F124="SUP")*GT_Cost_DataSheet_PY2!$V$2:$V$71)</f>
        <v>0</v>
      </c>
    </row>
    <row r="125" spans="1:10" s="111" customFormat="1">
      <c r="A125" s="174">
        <v>5.0999999999999996</v>
      </c>
      <c r="B125" s="158" t="s">
        <v>359</v>
      </c>
      <c r="C125" s="22" t="s">
        <v>408</v>
      </c>
      <c r="D125" s="22" t="s">
        <v>361</v>
      </c>
      <c r="E125" s="159" t="s">
        <v>443</v>
      </c>
      <c r="F125" s="160" t="s">
        <v>463</v>
      </c>
      <c r="G125" s="160" t="s">
        <v>493</v>
      </c>
      <c r="H125" s="160"/>
      <c r="I125" s="161">
        <f>SUMPRODUCT(GT_Cost_DataSheet_PY2!$X$2:$X$71, --(GT_Cost_DataSheet_PY2!$Q$2:$Q$71=E125), (F125="OPS")*GT_Cost_DataSheet_PY2!$R$2:$R$71)+
SUMPRODUCT(GT_Cost_DataSheet_PY2!$X$2:$X$71, --(GT_Cost_DataSheet_PY2!$Q$2:$Q$71=E125), (F125="MAINT")*GT_Cost_DataSheet_PY2!$S$2:$S$71)+
SUMPRODUCT(GT_Cost_DataSheet_PY2!$X$2:$X$71, --(GT_Cost_DataSheet_PY2!$Q$2:$Q$71=E125), (F125="DEV")*GT_Cost_DataSheet_PY2!$T$2:$T$71)+
SUMPRODUCT(GT_Cost_DataSheet_PY2!$X$2:$X$71, --(GT_Cost_DataSheet_PY2!$Q$2:$Q$71=E125), (F125="COORD")*GT_Cost_DataSheet_PY2!$U$2:$U$71)+
SUMPRODUCT(GT_Cost_DataSheet_PY2!$X$2:$X$71, --(GT_Cost_DataSheet_PY2!$Q$2:$Q$71=E125), (F125="SUP")*GT_Cost_DataSheet_PY2!$V$2:$V$71)</f>
        <v>0</v>
      </c>
      <c r="J125" s="185">
        <f>SUMPRODUCT(GT_Cost_DataSheet_PY2!$AB$2:$AB$71, --(GT_Cost_DataSheet_PY2!$Q$2:$Q$71=E125), (F125="OPS")*GT_Cost_DataSheet_PY2!$R$2:$R$71)+SUMPRODUCT(GT_Cost_DataSheet_PY2!$AB$2:$AB$71, --(GT_Cost_DataSheet_PY2!$Q$2:$Q$71=E125), (F125="MAINT")*GT_Cost_DataSheet_PY2!$S$2:$S$71)+SUMPRODUCT(GT_Cost_DataSheet_PY2!$AB$2:$AB$71, --(GT_Cost_DataSheet_PY2!$Q$2:$Q$71=E125), (F125="DEV")*GT_Cost_DataSheet_PY2!$T$2:$T$71)+SUMPRODUCT(GT_Cost_DataSheet_PY2!$AB$2:$AB$71, --(GT_Cost_DataSheet_PY2!$Q$2:$Q$71=E125), (F125="COORD")*GT_Cost_DataSheet_PY2!$U$2:$U$71)+SUMPRODUCT(GT_Cost_DataSheet_PY2!$AB$2:$AB$71, --(GT_Cost_DataSheet_PY2!$Q$2:$Q$71=E125), (F125="SUP")*GT_Cost_DataSheet_PY2!$V$2:$V$71)</f>
        <v>0</v>
      </c>
    </row>
    <row r="126" spans="1:10" s="111" customFormat="1">
      <c r="A126" s="174">
        <v>5.0999999999999996</v>
      </c>
      <c r="B126" s="158" t="s">
        <v>359</v>
      </c>
      <c r="C126" s="22" t="s">
        <v>408</v>
      </c>
      <c r="D126" s="22" t="s">
        <v>361</v>
      </c>
      <c r="E126" s="159" t="s">
        <v>443</v>
      </c>
      <c r="F126" s="160" t="s">
        <v>384</v>
      </c>
      <c r="G126" s="160" t="s">
        <v>493</v>
      </c>
      <c r="H126" s="160"/>
      <c r="I126" s="161">
        <f>SUMPRODUCT(GT_Cost_DataSheet_PY2!$X$2:$X$71, --(GT_Cost_DataSheet_PY2!$Q$2:$Q$71=E126), (F126="OPS")*GT_Cost_DataSheet_PY2!$R$2:$R$71)+
SUMPRODUCT(GT_Cost_DataSheet_PY2!$X$2:$X$71, --(GT_Cost_DataSheet_PY2!$Q$2:$Q$71=E126), (F126="MAINT")*GT_Cost_DataSheet_PY2!$S$2:$S$71)+
SUMPRODUCT(GT_Cost_DataSheet_PY2!$X$2:$X$71, --(GT_Cost_DataSheet_PY2!$Q$2:$Q$71=E126), (F126="DEV")*GT_Cost_DataSheet_PY2!$T$2:$T$71)+
SUMPRODUCT(GT_Cost_DataSheet_PY2!$X$2:$X$71, --(GT_Cost_DataSheet_PY2!$Q$2:$Q$71=E126), (F126="COORD")*GT_Cost_DataSheet_PY2!$U$2:$U$71)+
SUMPRODUCT(GT_Cost_DataSheet_PY2!$X$2:$X$71, --(GT_Cost_DataSheet_PY2!$Q$2:$Q$71=E126), (F126="SUP")*GT_Cost_DataSheet_PY2!$V$2:$V$71)</f>
        <v>0</v>
      </c>
      <c r="J126" s="185">
        <f>SUMPRODUCT(GT_Cost_DataSheet_PY2!$AB$2:$AB$71, --(GT_Cost_DataSheet_PY2!$Q$2:$Q$71=E126), (F126="OPS")*GT_Cost_DataSheet_PY2!$R$2:$R$71)+SUMPRODUCT(GT_Cost_DataSheet_PY2!$AB$2:$AB$71, --(GT_Cost_DataSheet_PY2!$Q$2:$Q$71=E126), (F126="MAINT")*GT_Cost_DataSheet_PY2!$S$2:$S$71)+SUMPRODUCT(GT_Cost_DataSheet_PY2!$AB$2:$AB$71, --(GT_Cost_DataSheet_PY2!$Q$2:$Q$71=E126), (F126="DEV")*GT_Cost_DataSheet_PY2!$T$2:$T$71)+SUMPRODUCT(GT_Cost_DataSheet_PY2!$AB$2:$AB$71, --(GT_Cost_DataSheet_PY2!$Q$2:$Q$71=E126), (F126="COORD")*GT_Cost_DataSheet_PY2!$U$2:$U$71)+SUMPRODUCT(GT_Cost_DataSheet_PY2!$AB$2:$AB$71, --(GT_Cost_DataSheet_PY2!$Q$2:$Q$71=E126), (F126="SUP")*GT_Cost_DataSheet_PY2!$V$2:$V$71)</f>
        <v>0</v>
      </c>
    </row>
    <row r="127" spans="1:10" s="111" customFormat="1">
      <c r="A127" s="174">
        <v>5.0999999999999996</v>
      </c>
      <c r="B127" s="158" t="s">
        <v>359</v>
      </c>
      <c r="C127" s="22" t="s">
        <v>408</v>
      </c>
      <c r="D127" s="22" t="s">
        <v>362</v>
      </c>
      <c r="E127" s="159" t="s">
        <v>416</v>
      </c>
      <c r="F127" s="160" t="s">
        <v>463</v>
      </c>
      <c r="G127" s="160" t="s">
        <v>412</v>
      </c>
      <c r="H127" s="160"/>
      <c r="I127" s="161">
        <f>SUMPRODUCT(GT_Cost_DataSheet_PY2!$X$2:$X$71, --(GT_Cost_DataSheet_PY2!$Q$2:$Q$71=E127), (F127="OPS")*GT_Cost_DataSheet_PY2!$R$2:$R$71)+
SUMPRODUCT(GT_Cost_DataSheet_PY2!$X$2:$X$71, --(GT_Cost_DataSheet_PY2!$Q$2:$Q$71=E127), (F127="MAINT")*GT_Cost_DataSheet_PY2!$S$2:$S$71)+
SUMPRODUCT(GT_Cost_DataSheet_PY2!$X$2:$X$71, --(GT_Cost_DataSheet_PY2!$Q$2:$Q$71=E127), (F127="DEV")*GT_Cost_DataSheet_PY2!$T$2:$T$71)+
SUMPRODUCT(GT_Cost_DataSheet_PY2!$X$2:$X$71, --(GT_Cost_DataSheet_PY2!$Q$2:$Q$71=E127), (F127="COORD")*GT_Cost_DataSheet_PY2!$U$2:$U$71)+
SUMPRODUCT(GT_Cost_DataSheet_PY2!$X$2:$X$71, --(GT_Cost_DataSheet_PY2!$Q$2:$Q$71=E127), (F127="SUP")*GT_Cost_DataSheet_PY2!$V$2:$V$71)</f>
        <v>0</v>
      </c>
      <c r="J127" s="185">
        <f>SUMPRODUCT(GT_Cost_DataSheet_PY2!$AB$2:$AB$71, --(GT_Cost_DataSheet_PY2!$Q$2:$Q$71=E127), (F127="OPS")*GT_Cost_DataSheet_PY2!$R$2:$R$71)+SUMPRODUCT(GT_Cost_DataSheet_PY2!$AB$2:$AB$71, --(GT_Cost_DataSheet_PY2!$Q$2:$Q$71=E127), (F127="MAINT")*GT_Cost_DataSheet_PY2!$S$2:$S$71)+SUMPRODUCT(GT_Cost_DataSheet_PY2!$AB$2:$AB$71, --(GT_Cost_DataSheet_PY2!$Q$2:$Q$71=E127), (F127="DEV")*GT_Cost_DataSheet_PY2!$T$2:$T$71)+SUMPRODUCT(GT_Cost_DataSheet_PY2!$AB$2:$AB$71, --(GT_Cost_DataSheet_PY2!$Q$2:$Q$71=E127), (F127="COORD")*GT_Cost_DataSheet_PY2!$U$2:$U$71)+SUMPRODUCT(GT_Cost_DataSheet_PY2!$AB$2:$AB$71, --(GT_Cost_DataSheet_PY2!$Q$2:$Q$71=E127), (F127="SUP")*GT_Cost_DataSheet_PY2!$V$2:$V$71)</f>
        <v>0</v>
      </c>
    </row>
    <row r="128" spans="1:10" s="111" customFormat="1">
      <c r="A128" s="174">
        <v>5.0999999999999996</v>
      </c>
      <c r="B128" s="158" t="s">
        <v>359</v>
      </c>
      <c r="C128" s="22" t="s">
        <v>408</v>
      </c>
      <c r="D128" s="22" t="s">
        <v>362</v>
      </c>
      <c r="E128" s="159" t="s">
        <v>416</v>
      </c>
      <c r="F128" s="160" t="s">
        <v>384</v>
      </c>
      <c r="G128" s="160" t="s">
        <v>412</v>
      </c>
      <c r="H128" s="160"/>
      <c r="I128" s="161">
        <f>SUMPRODUCT(GT_Cost_DataSheet_PY2!$X$2:$X$71, --(GT_Cost_DataSheet_PY2!$Q$2:$Q$71=E128), (F128="OPS")*GT_Cost_DataSheet_PY2!$R$2:$R$71)+
SUMPRODUCT(GT_Cost_DataSheet_PY2!$X$2:$X$71, --(GT_Cost_DataSheet_PY2!$Q$2:$Q$71=E128), (F128="MAINT")*GT_Cost_DataSheet_PY2!$S$2:$S$71)+
SUMPRODUCT(GT_Cost_DataSheet_PY2!$X$2:$X$71, --(GT_Cost_DataSheet_PY2!$Q$2:$Q$71=E128), (F128="DEV")*GT_Cost_DataSheet_PY2!$T$2:$T$71)+
SUMPRODUCT(GT_Cost_DataSheet_PY2!$X$2:$X$71, --(GT_Cost_DataSheet_PY2!$Q$2:$Q$71=E128), (F128="COORD")*GT_Cost_DataSheet_PY2!$U$2:$U$71)+
SUMPRODUCT(GT_Cost_DataSheet_PY2!$X$2:$X$71, --(GT_Cost_DataSheet_PY2!$Q$2:$Q$71=E128), (F128="SUP")*GT_Cost_DataSheet_PY2!$V$2:$V$71)</f>
        <v>0</v>
      </c>
      <c r="J128" s="185">
        <f>SUMPRODUCT(GT_Cost_DataSheet_PY2!$AB$2:$AB$71, --(GT_Cost_DataSheet_PY2!$Q$2:$Q$71=E128), (F128="OPS")*GT_Cost_DataSheet_PY2!$R$2:$R$71)+SUMPRODUCT(GT_Cost_DataSheet_PY2!$AB$2:$AB$71, --(GT_Cost_DataSheet_PY2!$Q$2:$Q$71=E128), (F128="MAINT")*GT_Cost_DataSheet_PY2!$S$2:$S$71)+SUMPRODUCT(GT_Cost_DataSheet_PY2!$AB$2:$AB$71, --(GT_Cost_DataSheet_PY2!$Q$2:$Q$71=E128), (F128="DEV")*GT_Cost_DataSheet_PY2!$T$2:$T$71)+SUMPRODUCT(GT_Cost_DataSheet_PY2!$AB$2:$AB$71, --(GT_Cost_DataSheet_PY2!$Q$2:$Q$71=E128), (F128="COORD")*GT_Cost_DataSheet_PY2!$U$2:$U$71)+SUMPRODUCT(GT_Cost_DataSheet_PY2!$AB$2:$AB$71, --(GT_Cost_DataSheet_PY2!$Q$2:$Q$71=E128), (F128="SUP")*GT_Cost_DataSheet_PY2!$V$2:$V$71)</f>
        <v>0</v>
      </c>
    </row>
    <row r="129" spans="1:10" s="111" customFormat="1">
      <c r="A129" s="174">
        <v>5.0999999999999996</v>
      </c>
      <c r="B129" s="158" t="s">
        <v>359</v>
      </c>
      <c r="C129" s="22" t="s">
        <v>408</v>
      </c>
      <c r="D129" s="22" t="s">
        <v>362</v>
      </c>
      <c r="E129" s="159" t="s">
        <v>416</v>
      </c>
      <c r="F129" s="160" t="s">
        <v>304</v>
      </c>
      <c r="G129" s="160" t="s">
        <v>493</v>
      </c>
      <c r="H129" s="160"/>
      <c r="I129" s="161">
        <f>SUMPRODUCT(GT_Cost_DataSheet_PY2!$X$2:$X$71, --(GT_Cost_DataSheet_PY2!$Q$2:$Q$71=E129), (F129="OPS")*GT_Cost_DataSheet_PY2!$R$2:$R$71)+
SUMPRODUCT(GT_Cost_DataSheet_PY2!$X$2:$X$71, --(GT_Cost_DataSheet_PY2!$Q$2:$Q$71=E129), (F129="MAINT")*GT_Cost_DataSheet_PY2!$S$2:$S$71)+
SUMPRODUCT(GT_Cost_DataSheet_PY2!$X$2:$X$71, --(GT_Cost_DataSheet_PY2!$Q$2:$Q$71=E129), (F129="DEV")*GT_Cost_DataSheet_PY2!$T$2:$T$71)+
SUMPRODUCT(GT_Cost_DataSheet_PY2!$X$2:$X$71, --(GT_Cost_DataSheet_PY2!$Q$2:$Q$71=E129), (F129="COORD")*GT_Cost_DataSheet_PY2!$U$2:$U$71)+
SUMPRODUCT(GT_Cost_DataSheet_PY2!$X$2:$X$71, --(GT_Cost_DataSheet_PY2!$Q$2:$Q$71=E129), (F129="SUP")*GT_Cost_DataSheet_PY2!$V$2:$V$71)</f>
        <v>0</v>
      </c>
      <c r="J129" s="185">
        <f>SUMPRODUCT(GT_Cost_DataSheet_PY2!$AB$2:$AB$71, --(GT_Cost_DataSheet_PY2!$Q$2:$Q$71=E129), (F129="OPS")*GT_Cost_DataSheet_PY2!$R$2:$R$71)+SUMPRODUCT(GT_Cost_DataSheet_PY2!$AB$2:$AB$71, --(GT_Cost_DataSheet_PY2!$Q$2:$Q$71=E129), (F129="MAN")*GT_Cost_DataSheet_PY2!$S$2:$S$71)+SUMPRODUCT(GT_Cost_DataSheet_PY2!$AB$2:$AB$71, --(GT_Cost_DataSheet_PY2!$Q$2:$Q$71=E129), (F129="DEV")*GT_Cost_DataSheet_PY2!$T$2:$T$71)+SUMPRODUCT(GT_Cost_DataSheet_PY2!$AB$2:$AB$71, --(GT_Cost_DataSheet_PY2!$Q$2:$Q$71=E129), (F129="COORD")*GT_Cost_DataSheet_PY2!$U$2:$U$71)+SUMPRODUCT(GT_Cost_DataSheet_PY2!$AB$2:$AB$71, --(GT_Cost_DataSheet_PY2!$Q$2:$Q$71=E129), (F129="SUP")*GT_Cost_DataSheet_PY2!$V$2:$V$71)</f>
        <v>0</v>
      </c>
    </row>
    <row r="130" spans="1:10" s="111" customFormat="1">
      <c r="A130" s="174">
        <v>5.0999999999999996</v>
      </c>
      <c r="B130" s="158" t="s">
        <v>359</v>
      </c>
      <c r="C130" s="22" t="s">
        <v>408</v>
      </c>
      <c r="D130" s="22" t="s">
        <v>363</v>
      </c>
      <c r="E130" s="159" t="s">
        <v>444</v>
      </c>
      <c r="F130" s="160" t="s">
        <v>304</v>
      </c>
      <c r="G130" s="160" t="s">
        <v>496</v>
      </c>
      <c r="H130" s="160"/>
      <c r="I130" s="161">
        <f>SUMPRODUCT(GT_Cost_DataSheet_PY2!$X$2:$X$71, --(GT_Cost_DataSheet_PY2!$Q$2:$Q$71=E130), (F130="OPS")*GT_Cost_DataSheet_PY2!$R$2:$R$71)+
SUMPRODUCT(GT_Cost_DataSheet_PY2!$X$2:$X$71, --(GT_Cost_DataSheet_PY2!$Q$2:$Q$71=E130), (F130="MAINT")*GT_Cost_DataSheet_PY2!$S$2:$S$71)+
SUMPRODUCT(GT_Cost_DataSheet_PY2!$X$2:$X$71, --(GT_Cost_DataSheet_PY2!$Q$2:$Q$71=E130), (F130="DEV")*GT_Cost_DataSheet_PY2!$T$2:$T$71)+
SUMPRODUCT(GT_Cost_DataSheet_PY2!$X$2:$X$71, --(GT_Cost_DataSheet_PY2!$Q$2:$Q$71=E130), (F130="COORD")*GT_Cost_DataSheet_PY2!$U$2:$U$71)+
SUMPRODUCT(GT_Cost_DataSheet_PY2!$X$2:$X$71, --(GT_Cost_DataSheet_PY2!$Q$2:$Q$71=E130), (F130="SUP")*GT_Cost_DataSheet_PY2!$V$2:$V$71)</f>
        <v>0</v>
      </c>
      <c r="J130" s="185">
        <f>SUMPRODUCT(GT_Cost_DataSheet_PY2!$AB$2:$AB$71, --(GT_Cost_DataSheet_PY2!$Q$2:$Q$71=E130), (F130="OPS")*GT_Cost_DataSheet_PY2!$R$2:$R$71)+SUMPRODUCT(GT_Cost_DataSheet_PY2!$AB$2:$AB$71, --(GT_Cost_DataSheet_PY2!$Q$2:$Q$71=E130), (F130="MAINT")*GT_Cost_DataSheet_PY2!$S$2:$S$71)+SUMPRODUCT(GT_Cost_DataSheet_PY2!$AB$2:$AB$71, --(GT_Cost_DataSheet_PY2!$Q$2:$Q$71=E130), (F130="DEV")*GT_Cost_DataSheet_PY2!$T$2:$T$71)+SUMPRODUCT(GT_Cost_DataSheet_PY2!$AB$2:$AB$71, --(GT_Cost_DataSheet_PY2!$Q$2:$Q$71=E130), (F130="COORD")*GT_Cost_DataSheet_PY2!$U$2:$U$71)+SUMPRODUCT(GT_Cost_DataSheet_PY2!$AB$2:$AB$71, --(GT_Cost_DataSheet_PY2!$Q$2:$Q$71=E130), (F130="SUP")*GT_Cost_DataSheet_PY2!$V$2:$V$71)</f>
        <v>0</v>
      </c>
    </row>
    <row r="131" spans="1:10" s="111" customFormat="1">
      <c r="A131" s="174">
        <v>5.0999999999999996</v>
      </c>
      <c r="B131" s="158" t="s">
        <v>359</v>
      </c>
      <c r="C131" s="22" t="s">
        <v>408</v>
      </c>
      <c r="D131" s="22" t="s">
        <v>363</v>
      </c>
      <c r="E131" s="159" t="s">
        <v>444</v>
      </c>
      <c r="F131" s="160" t="s">
        <v>463</v>
      </c>
      <c r="G131" s="160" t="s">
        <v>496</v>
      </c>
      <c r="H131" s="160"/>
      <c r="I131" s="161">
        <f>SUMPRODUCT(GT_Cost_DataSheet_PY2!$X$2:$X$71, --(GT_Cost_DataSheet_PY2!$Q$2:$Q$71=E131), (F131="OPS")*GT_Cost_DataSheet_PY2!$R$2:$R$71)+
SUMPRODUCT(GT_Cost_DataSheet_PY2!$X$2:$X$71, --(GT_Cost_DataSheet_PY2!$Q$2:$Q$71=E131), (F131="MAINT")*GT_Cost_DataSheet_PY2!$S$2:$S$71)+
SUMPRODUCT(GT_Cost_DataSheet_PY2!$X$2:$X$71, --(GT_Cost_DataSheet_PY2!$Q$2:$Q$71=E131), (F131="DEV")*GT_Cost_DataSheet_PY2!$T$2:$T$71)+
SUMPRODUCT(GT_Cost_DataSheet_PY2!$X$2:$X$71, --(GT_Cost_DataSheet_PY2!$Q$2:$Q$71=E131), (F131="COORD")*GT_Cost_DataSheet_PY2!$U$2:$U$71)+
SUMPRODUCT(GT_Cost_DataSheet_PY2!$X$2:$X$71, --(GT_Cost_DataSheet_PY2!$Q$2:$Q$71=E131), (F131="SUP")*GT_Cost_DataSheet_PY2!$V$2:$V$71)</f>
        <v>0</v>
      </c>
      <c r="J131" s="185">
        <f>SUMPRODUCT(GT_Cost_DataSheet_PY2!$AB$2:$AB$71, --(GT_Cost_DataSheet_PY2!$Q$2:$Q$71=E131), (F131="OPS")*GT_Cost_DataSheet_PY2!$R$2:$R$71)+SUMPRODUCT(GT_Cost_DataSheet_PY2!$AB$2:$AB$71, --(GT_Cost_DataSheet_PY2!$Q$2:$Q$71=E131), (F131="MAINT")*GT_Cost_DataSheet_PY2!$S$2:$S$71)+SUMPRODUCT(GT_Cost_DataSheet_PY2!$AB$2:$AB$71, --(GT_Cost_DataSheet_PY2!$Q$2:$Q$71=E131), (F131="DEV")*GT_Cost_DataSheet_PY2!$T$2:$T$71)+SUMPRODUCT(GT_Cost_DataSheet_PY2!$AB$2:$AB$71, --(GT_Cost_DataSheet_PY2!$Q$2:$Q$71=E131), (F131="COORD")*GT_Cost_DataSheet_PY2!$U$2:$U$71)+SUMPRODUCT(GT_Cost_DataSheet_PY2!$AB$2:$AB$71, --(GT_Cost_DataSheet_PY2!$Q$2:$Q$71=E131), (F131="SUP")*GT_Cost_DataSheet_PY2!$V$2:$V$71)</f>
        <v>0</v>
      </c>
    </row>
    <row r="132" spans="1:10" s="111" customFormat="1">
      <c r="A132" s="174">
        <v>5.0999999999999996</v>
      </c>
      <c r="B132" s="158" t="s">
        <v>359</v>
      </c>
      <c r="C132" s="22" t="s">
        <v>408</v>
      </c>
      <c r="D132" s="22" t="s">
        <v>363</v>
      </c>
      <c r="E132" s="159" t="s">
        <v>444</v>
      </c>
      <c r="F132" s="160" t="s">
        <v>384</v>
      </c>
      <c r="G132" s="160" t="s">
        <v>496</v>
      </c>
      <c r="H132" s="160"/>
      <c r="I132" s="161">
        <f>SUMPRODUCT(GT_Cost_DataSheet_PY2!$X$2:$X$71, --(GT_Cost_DataSheet_PY2!$Q$2:$Q$71=E132), (F132="OPS")*GT_Cost_DataSheet_PY2!$R$2:$R$71)+
SUMPRODUCT(GT_Cost_DataSheet_PY2!$X$2:$X$71, --(GT_Cost_DataSheet_PY2!$Q$2:$Q$71=E132), (F132="MAINT")*GT_Cost_DataSheet_PY2!$S$2:$S$71)+
SUMPRODUCT(GT_Cost_DataSheet_PY2!$X$2:$X$71, --(GT_Cost_DataSheet_PY2!$Q$2:$Q$71=E132), (F132="DEV")*GT_Cost_DataSheet_PY2!$T$2:$T$71)+
SUMPRODUCT(GT_Cost_DataSheet_PY2!$X$2:$X$71, --(GT_Cost_DataSheet_PY2!$Q$2:$Q$71=E132), (F132="COORD")*GT_Cost_DataSheet_PY2!$U$2:$U$71)+
SUMPRODUCT(GT_Cost_DataSheet_PY2!$X$2:$X$71, --(GT_Cost_DataSheet_PY2!$Q$2:$Q$71=E132), (F132="SUP")*GT_Cost_DataSheet_PY2!$V$2:$V$71)</f>
        <v>0</v>
      </c>
      <c r="J132" s="185">
        <f>SUMPRODUCT(GT_Cost_DataSheet_PY2!$AB$2:$AB$71, --(GT_Cost_DataSheet_PY2!$Q$2:$Q$71=E132), (F132="OPS")*GT_Cost_DataSheet_PY2!$R$2:$R$71)+SUMPRODUCT(GT_Cost_DataSheet_PY2!$AB$2:$AB$71, --(GT_Cost_DataSheet_PY2!$Q$2:$Q$71=E132), (F132="MAINT")*GT_Cost_DataSheet_PY2!$S$2:$S$71)+SUMPRODUCT(GT_Cost_DataSheet_PY2!$AB$2:$AB$71, --(GT_Cost_DataSheet_PY2!$Q$2:$Q$71=E132), (F132="DEV")*GT_Cost_DataSheet_PY2!$T$2:$T$71)+SUMPRODUCT(GT_Cost_DataSheet_PY2!$AB$2:$AB$71, --(GT_Cost_DataSheet_PY2!$Q$2:$Q$71=E132), (F132="COORD")*GT_Cost_DataSheet_PY2!$U$2:$U$71)+SUMPRODUCT(GT_Cost_DataSheet_PY2!$AB$2:$AB$71, --(GT_Cost_DataSheet_PY2!$Q$2:$Q$71=E132), (F132="SUP")*GT_Cost_DataSheet_PY2!$V$2:$V$71)</f>
        <v>0</v>
      </c>
    </row>
    <row r="133" spans="1:10" s="111" customFormat="1">
      <c r="A133" s="174">
        <v>5.0999999999999996</v>
      </c>
      <c r="B133" s="117" t="s">
        <v>359</v>
      </c>
      <c r="C133" s="111" t="s">
        <v>408</v>
      </c>
      <c r="D133" s="111" t="s">
        <v>240</v>
      </c>
      <c r="E133" s="119" t="s">
        <v>241</v>
      </c>
      <c r="F133" s="121" t="s">
        <v>463</v>
      </c>
      <c r="G133" s="121" t="s">
        <v>496</v>
      </c>
      <c r="H133" s="121"/>
      <c r="I133" s="123">
        <f>SUMPRODUCT(GT_Cost_DataSheet_PY2!$X$2:$X$71, --(GT_Cost_DataSheet_PY2!$Q$2:$Q$71=E133), (F133="OPS")*GT_Cost_DataSheet_PY2!$R$2:$R$71)+
SUMPRODUCT(GT_Cost_DataSheet_PY2!$X$2:$X$71, --(GT_Cost_DataSheet_PY2!$Q$2:$Q$71=E133), (F133="MAINT")*GT_Cost_DataSheet_PY2!$S$2:$S$71)+
SUMPRODUCT(GT_Cost_DataSheet_PY2!$X$2:$X$71, --(GT_Cost_DataSheet_PY2!$Q$2:$Q$71=E133), (F133="DEV")*GT_Cost_DataSheet_PY2!$T$2:$T$71)+
SUMPRODUCT(GT_Cost_DataSheet_PY2!$X$2:$X$71, --(GT_Cost_DataSheet_PY2!$Q$2:$Q$71=E133), (F133="COORD")*GT_Cost_DataSheet_PY2!$U$2:$U$71)+
SUMPRODUCT(GT_Cost_DataSheet_PY2!$X$2:$X$71, --(GT_Cost_DataSheet_PY2!$Q$2:$Q$71=E133), (F133="SUP")*GT_Cost_DataSheet_PY2!$V$2:$V$71)</f>
        <v>0.21860744297719104</v>
      </c>
      <c r="J133" s="184">
        <f>SUMPRODUCT(GT_Cost_DataSheet_PY2!$AB$2:$AB$71, --(GT_Cost_DataSheet_PY2!$Q$2:$Q$71=E133), (F133="OPS")*GT_Cost_DataSheet_PY2!$R$2:$R$71)+SUMPRODUCT(GT_Cost_DataSheet_PY2!$AB$2:$AB$71, --(GT_Cost_DataSheet_PY2!$Q$2:$Q$71=E133), (F133="MAINT")*GT_Cost_DataSheet_PY2!$S$2:$S$71)+SUMPRODUCT(GT_Cost_DataSheet_PY2!$AB$2:$AB$71, --(GT_Cost_DataSheet_PY2!$Q$2:$Q$71=E133), (F133="DEV")*GT_Cost_DataSheet_PY2!$T$2:$T$71)+SUMPRODUCT(GT_Cost_DataSheet_PY2!$AB$2:$AB$71, --(GT_Cost_DataSheet_PY2!$Q$2:$Q$71=E133), (F133="COORD")*GT_Cost_DataSheet_PY2!$U$2:$U$71)+SUMPRODUCT(GT_Cost_DataSheet_PY2!$AB$2:$AB$71, --(GT_Cost_DataSheet_PY2!$Q$2:$Q$71=E133), (F133="SUP")*GT_Cost_DataSheet_PY2!$V$2:$V$71)</f>
        <v>1185.5520000000001</v>
      </c>
    </row>
    <row r="134" spans="1:10" s="111" customFormat="1">
      <c r="A134" s="174">
        <v>5.0999999999999996</v>
      </c>
      <c r="B134" s="117" t="s">
        <v>359</v>
      </c>
      <c r="C134" s="111" t="s">
        <v>408</v>
      </c>
      <c r="D134" s="111" t="s">
        <v>402</v>
      </c>
      <c r="E134" s="119" t="s">
        <v>238</v>
      </c>
      <c r="F134" s="121" t="s">
        <v>463</v>
      </c>
      <c r="G134" s="121" t="s">
        <v>412</v>
      </c>
      <c r="H134" s="121"/>
      <c r="I134" s="123">
        <f>SUMPRODUCT(GT_Cost_DataSheet_PY2!$X$2:$X$71, --(GT_Cost_DataSheet_PY2!$Q$2:$Q$71=E134), (F134="OPS")*GT_Cost_DataSheet_PY2!$R$2:$R$71)+
SUMPRODUCT(GT_Cost_DataSheet_PY2!$X$2:$X$71, --(GT_Cost_DataSheet_PY2!$Q$2:$Q$71=E134), (F134="MAINT")*GT_Cost_DataSheet_PY2!$S$2:$S$71)+
SUMPRODUCT(GT_Cost_DataSheet_PY2!$X$2:$X$71, --(GT_Cost_DataSheet_PY2!$Q$2:$Q$71=E134), (F134="DEV")*GT_Cost_DataSheet_PY2!$T$2:$T$71)+
SUMPRODUCT(GT_Cost_DataSheet_PY2!$X$2:$X$71, --(GT_Cost_DataSheet_PY2!$Q$2:$Q$71=E134), (F134="COORD")*GT_Cost_DataSheet_PY2!$U$2:$U$71)+
SUMPRODUCT(GT_Cost_DataSheet_PY2!$X$2:$X$71, --(GT_Cost_DataSheet_PY2!$Q$2:$Q$71=E134), (F134="SUP")*GT_Cost_DataSheet_PY2!$V$2:$V$71)</f>
        <v>0.24454431175361388</v>
      </c>
      <c r="J134" s="184">
        <f>SUMPRODUCT(GT_Cost_DataSheet_PY2!$AB$2:$AB$71, --(GT_Cost_DataSheet_PY2!$Q$2:$Q$71=E134), (F134="OPS")*GT_Cost_DataSheet_PY2!$R$2:$R$71)+SUMPRODUCT(GT_Cost_DataSheet_PY2!$AB$2:$AB$71, --(GT_Cost_DataSheet_PY2!$Q$2:$Q$71=E134), (F134="MAINT")*GT_Cost_DataSheet_PY2!$S$2:$S$71)+SUMPRODUCT(GT_Cost_DataSheet_PY2!$AB$2:$AB$71, --(GT_Cost_DataSheet_PY2!$Q$2:$Q$71=E134), (F134="DEV")*GT_Cost_DataSheet_PY2!$T$2:$T$71)+SUMPRODUCT(GT_Cost_DataSheet_PY2!$AB$2:$AB$71, --(GT_Cost_DataSheet_PY2!$Q$2:$Q$71=E134), (F134="COORD")*GT_Cost_DataSheet_PY2!$U$2:$U$71)+SUMPRODUCT(GT_Cost_DataSheet_PY2!$AB$2:$AB$71, --(GT_Cost_DataSheet_PY2!$Q$2:$Q$71=E134), (F134="SUP")*GT_Cost_DataSheet_PY2!$V$2:$V$71)</f>
        <v>15669.169875</v>
      </c>
    </row>
    <row r="135" spans="1:10" s="111" customFormat="1">
      <c r="A135" s="174">
        <v>5.0999999999999996</v>
      </c>
      <c r="B135" s="117" t="s">
        <v>359</v>
      </c>
      <c r="C135" s="111" t="s">
        <v>408</v>
      </c>
      <c r="D135" s="111" t="s">
        <v>402</v>
      </c>
      <c r="E135" s="119" t="s">
        <v>238</v>
      </c>
      <c r="F135" s="121" t="s">
        <v>304</v>
      </c>
      <c r="G135" s="121" t="s">
        <v>493</v>
      </c>
      <c r="H135" s="121"/>
      <c r="I135" s="123">
        <f>SUMPRODUCT(GT_Cost_DataSheet_PY2!$X$2:$X$71, --(GT_Cost_DataSheet_PY2!$Q$2:$Q$71=E135), (F135="OPS")*GT_Cost_DataSheet_PY2!$R$2:$R$71)+
SUMPRODUCT(GT_Cost_DataSheet_PY2!$X$2:$X$71, --(GT_Cost_DataSheet_PY2!$Q$2:$Q$71=E135), (F135="MAINT")*GT_Cost_DataSheet_PY2!$S$2:$S$71)+
SUMPRODUCT(GT_Cost_DataSheet_PY2!$X$2:$X$71, --(GT_Cost_DataSheet_PY2!$Q$2:$Q$71=E135), (F135="DEV")*GT_Cost_DataSheet_PY2!$T$2:$T$71)+
SUMPRODUCT(GT_Cost_DataSheet_PY2!$X$2:$X$71, --(GT_Cost_DataSheet_PY2!$Q$2:$Q$71=E135), (F135="COORD")*GT_Cost_DataSheet_PY2!$U$2:$U$71)+
SUMPRODUCT(GT_Cost_DataSheet_PY2!$X$2:$X$71, --(GT_Cost_DataSheet_PY2!$Q$2:$Q$71=E135), (F135="SUP")*GT_Cost_DataSheet_PY2!$V$2:$V$71)</f>
        <v>0.24454431175361388</v>
      </c>
      <c r="J135" s="184">
        <f>SUMPRODUCT(GT_Cost_DataSheet_PY2!$AB$2:$AB$71, --(GT_Cost_DataSheet_PY2!$Q$2:$Q$71=E135), (F135="OPS")*GT_Cost_DataSheet_PY2!$R$2:$R$71)+SUMPRODUCT(GT_Cost_DataSheet_PY2!$AB$2:$AB$71, --(GT_Cost_DataSheet_PY2!$Q$2:$Q$71=E135), (F135="MAINT")*GT_Cost_DataSheet_PY2!$S$2:$S$71)+SUMPRODUCT(GT_Cost_DataSheet_PY2!$AB$2:$AB$71, --(GT_Cost_DataSheet_PY2!$Q$2:$Q$71=E135), (F135="DEV")*GT_Cost_DataSheet_PY2!$T$2:$T$71)+SUMPRODUCT(GT_Cost_DataSheet_PY2!$AB$2:$AB$71, --(GT_Cost_DataSheet_PY2!$Q$2:$Q$71=E135), (F135="COORD")*GT_Cost_DataSheet_PY2!$U$2:$U$71)+SUMPRODUCT(GT_Cost_DataSheet_PY2!$AB$2:$AB$71, --(GT_Cost_DataSheet_PY2!$Q$2:$Q$71=E135), (F135="SUP")*GT_Cost_DataSheet_PY2!$V$2:$V$71)</f>
        <v>15669.169875</v>
      </c>
    </row>
    <row r="136" spans="1:10" s="111" customFormat="1">
      <c r="A136" s="174">
        <v>5.0999999999999996</v>
      </c>
      <c r="B136" s="117" t="s">
        <v>359</v>
      </c>
      <c r="C136" s="111" t="s">
        <v>408</v>
      </c>
      <c r="D136" s="94" t="s">
        <v>407</v>
      </c>
      <c r="E136" s="119" t="s">
        <v>376</v>
      </c>
      <c r="F136" s="121" t="s">
        <v>304</v>
      </c>
      <c r="G136" s="121" t="s">
        <v>496</v>
      </c>
      <c r="H136" s="121"/>
      <c r="I136" s="123">
        <f>SUMPRODUCT(GT_Cost_DataSheet_PY2!$X$2:$X$71, --(GT_Cost_DataSheet_PY2!$Q$2:$Q$71=E136), (F136="OPS")*GT_Cost_DataSheet_PY2!$R$2:$R$71)+
SUMPRODUCT(GT_Cost_DataSheet_PY2!$X$2:$X$71, --(GT_Cost_DataSheet_PY2!$Q$2:$Q$71=E136), (F136="MAINT")*GT_Cost_DataSheet_PY2!$S$2:$S$71)+
SUMPRODUCT(GT_Cost_DataSheet_PY2!$X$2:$X$71, --(GT_Cost_DataSheet_PY2!$Q$2:$Q$71=E136), (F136="DEV")*GT_Cost_DataSheet_PY2!$T$2:$T$71)+
SUMPRODUCT(GT_Cost_DataSheet_PY2!$X$2:$X$71, --(GT_Cost_DataSheet_PY2!$Q$2:$Q$71=E136), (F136="COORD")*GT_Cost_DataSheet_PY2!$U$2:$U$71)+
SUMPRODUCT(GT_Cost_DataSheet_PY2!$X$2:$X$71, --(GT_Cost_DataSheet_PY2!$Q$2:$Q$71=E136), (F136="SUP")*GT_Cost_DataSheet_PY2!$V$2:$V$71)</f>
        <v>1.4696236626809305</v>
      </c>
      <c r="J136" s="184">
        <f>SUMPRODUCT(GT_Cost_DataSheet_PY2!$AB$2:$AB$71, --(GT_Cost_DataSheet_PY2!$Q$2:$Q$71=E136), (F136="OPS")*GT_Cost_DataSheet_PY2!$R$2:$R$71)+SUMPRODUCT(GT_Cost_DataSheet_PY2!$AB$2:$AB$71, --(GT_Cost_DataSheet_PY2!$Q$2:$Q$71=E136), (F136="MAINT")*GT_Cost_DataSheet_PY2!$S$2:$S$71)+SUMPRODUCT(GT_Cost_DataSheet_PY2!$AB$2:$AB$71, --(GT_Cost_DataSheet_PY2!$Q$2:$Q$71=E136), (F136="DEV")*GT_Cost_DataSheet_PY2!$T$2:$T$71)+SUMPRODUCT(GT_Cost_DataSheet_PY2!$AB$2:$AB$71, --(GT_Cost_DataSheet_PY2!$Q$2:$Q$71=E136), (F136="COORD")*GT_Cost_DataSheet_PY2!$U$2:$U$71)+SUMPRODUCT(GT_Cost_DataSheet_PY2!$AB$2:$AB$71, --(GT_Cost_DataSheet_PY2!$Q$2:$Q$71=E136), (F136="SUP")*GT_Cost_DataSheet_PY2!$V$2:$V$71)</f>
        <v>8104.2144000000008</v>
      </c>
    </row>
    <row r="137" spans="1:10" s="111" customFormat="1">
      <c r="A137" s="174">
        <v>5.0999999999999996</v>
      </c>
      <c r="B137" s="117" t="s">
        <v>359</v>
      </c>
      <c r="C137" s="111" t="s">
        <v>408</v>
      </c>
      <c r="D137" s="111" t="s">
        <v>149</v>
      </c>
      <c r="E137" s="119" t="s">
        <v>305</v>
      </c>
      <c r="F137" s="121" t="s">
        <v>463</v>
      </c>
      <c r="G137" s="121" t="s">
        <v>412</v>
      </c>
      <c r="H137" s="121"/>
      <c r="I137" s="123">
        <f>SUMPRODUCT(GT_Cost_DataSheet_PY2!$X$2:$X$71, --(GT_Cost_DataSheet_PY2!$Q$2:$Q$71=E137), (F137="OPS")*GT_Cost_DataSheet_PY2!$R$2:$R$71)+
SUMPRODUCT(GT_Cost_DataSheet_PY2!$X$2:$X$71, --(GT_Cost_DataSheet_PY2!$Q$2:$Q$71=E137), (F137="MAINT")*GT_Cost_DataSheet_PY2!$S$2:$S$71)+
SUMPRODUCT(GT_Cost_DataSheet_PY2!$X$2:$X$71, --(GT_Cost_DataSheet_PY2!$Q$2:$Q$71=E137), (F137="DEV")*GT_Cost_DataSheet_PY2!$T$2:$T$71)+
SUMPRODUCT(GT_Cost_DataSheet_PY2!$X$2:$X$71, --(GT_Cost_DataSheet_PY2!$Q$2:$Q$71=E137), (F137="COORD")*GT_Cost_DataSheet_PY2!$U$2:$U$71)+
SUMPRODUCT(GT_Cost_DataSheet_PY2!$X$2:$X$71, --(GT_Cost_DataSheet_PY2!$Q$2:$Q$71=E137), (F137="SUP")*GT_Cost_DataSheet_PY2!$V$2:$V$71)</f>
        <v>1.554438095238095</v>
      </c>
      <c r="J137" s="184">
        <f>SUMPRODUCT(GT_Cost_DataSheet_PY2!$AB$2:$AB$71, --(GT_Cost_DataSheet_PY2!$Q$2:$Q$71=E137), (F137="OPS")*GT_Cost_DataSheet_PY2!$R$2:$R$71)+SUMPRODUCT(GT_Cost_DataSheet_PY2!$AB$2:$AB$71, --(GT_Cost_DataSheet_PY2!$Q$2:$Q$71=E137), (F137="MAINT")*GT_Cost_DataSheet_PY2!$S$2:$S$71)+SUMPRODUCT(GT_Cost_DataSheet_PY2!$AB$2:$AB$71, --(GT_Cost_DataSheet_PY2!$Q$2:$Q$71=E137), (F137="DEV")*GT_Cost_DataSheet_PY2!$T$2:$T$71)+SUMPRODUCT(GT_Cost_DataSheet_PY2!$AB$2:$AB$71, --(GT_Cost_DataSheet_PY2!$Q$2:$Q$71=E137), (F137="COORD")*GT_Cost_DataSheet_PY2!$U$2:$U$71)+SUMPRODUCT(GT_Cost_DataSheet_PY2!$AB$2:$AB$71, --(GT_Cost_DataSheet_PY2!$Q$2:$Q$71=E137), (F137="SUP")*GT_Cost_DataSheet_PY2!$V$2:$V$71)</f>
        <v>15153.48</v>
      </c>
    </row>
    <row r="138" spans="1:10" s="111" customFormat="1">
      <c r="A138" s="174">
        <v>5.0999999999999996</v>
      </c>
      <c r="B138" s="117" t="s">
        <v>359</v>
      </c>
      <c r="C138" s="111" t="s">
        <v>408</v>
      </c>
      <c r="D138" s="111" t="s">
        <v>240</v>
      </c>
      <c r="E138" s="119" t="s">
        <v>241</v>
      </c>
      <c r="F138" s="121" t="s">
        <v>304</v>
      </c>
      <c r="G138" s="121" t="s">
        <v>496</v>
      </c>
      <c r="H138" s="121"/>
      <c r="I138" s="123">
        <f>SUMPRODUCT(GT_Cost_DataSheet_PY2!$X$2:$X$71, --(GT_Cost_DataSheet_PY2!$Q$2:$Q$71=E138), (F138="OPS")*GT_Cost_DataSheet_PY2!$R$2:$R$71)+
SUMPRODUCT(GT_Cost_DataSheet_PY2!$X$2:$X$71, --(GT_Cost_DataSheet_PY2!$Q$2:$Q$71=E138), (F138="MAINT")*GT_Cost_DataSheet_PY2!$S$2:$S$71)+
SUMPRODUCT(GT_Cost_DataSheet_PY2!$X$2:$X$71, --(GT_Cost_DataSheet_PY2!$Q$2:$Q$71=E138), (F138="DEV")*GT_Cost_DataSheet_PY2!$T$2:$T$71)+
SUMPRODUCT(GT_Cost_DataSheet_PY2!$X$2:$X$71, --(GT_Cost_DataSheet_PY2!$Q$2:$Q$71=E138), (F138="COORD")*GT_Cost_DataSheet_PY2!$U$2:$U$71)+
SUMPRODUCT(GT_Cost_DataSheet_PY2!$X$2:$X$71, --(GT_Cost_DataSheet_PY2!$Q$2:$Q$71=E138), (F138="SUP")*GT_Cost_DataSheet_PY2!$V$2:$V$71)</f>
        <v>1.9674669867947192</v>
      </c>
      <c r="J138" s="184">
        <f>SUMPRODUCT(GT_Cost_DataSheet_PY2!$AB$2:$AB$71, --(GT_Cost_DataSheet_PY2!$Q$2:$Q$71=E138), (F138="OPS")*GT_Cost_DataSheet_PY2!$R$2:$R$71)+SUMPRODUCT(GT_Cost_DataSheet_PY2!$AB$2:$AB$71, --(GT_Cost_DataSheet_PY2!$Q$2:$Q$71=E138), (F138="MAINT")*GT_Cost_DataSheet_PY2!$S$2:$S$71)+SUMPRODUCT(GT_Cost_DataSheet_PY2!$AB$2:$AB$71, --(GT_Cost_DataSheet_PY2!$Q$2:$Q$71=E138), (F138="DEV")*GT_Cost_DataSheet_PY2!$T$2:$T$71)+SUMPRODUCT(GT_Cost_DataSheet_PY2!$AB$2:$AB$71, --(GT_Cost_DataSheet_PY2!$Q$2:$Q$71=E138), (F138="COORD")*GT_Cost_DataSheet_PY2!$U$2:$U$71)+SUMPRODUCT(GT_Cost_DataSheet_PY2!$AB$2:$AB$71, --(GT_Cost_DataSheet_PY2!$Q$2:$Q$71=E138), (F138="SUP")*GT_Cost_DataSheet_PY2!$V$2:$V$71)</f>
        <v>10669.968000000001</v>
      </c>
    </row>
    <row r="139" spans="1:10" s="111" customFormat="1">
      <c r="A139" s="174">
        <v>5.0999999999999996</v>
      </c>
      <c r="B139" s="117" t="s">
        <v>359</v>
      </c>
      <c r="C139" s="111" t="s">
        <v>408</v>
      </c>
      <c r="D139" s="111" t="s">
        <v>129</v>
      </c>
      <c r="E139" s="119" t="s">
        <v>129</v>
      </c>
      <c r="F139" s="121" t="s">
        <v>463</v>
      </c>
      <c r="G139" s="121" t="s">
        <v>412</v>
      </c>
      <c r="H139" s="121"/>
      <c r="I139" s="123">
        <f>SUMPRODUCT(GT_Cost_DataSheet_PY2!$X$2:$X$71, --(GT_Cost_DataSheet_PY2!$Q$2:$Q$71=E139), (F139="OPS")*GT_Cost_DataSheet_PY2!$R$2:$R$71)+
SUMPRODUCT(GT_Cost_DataSheet_PY2!$X$2:$X$71, --(GT_Cost_DataSheet_PY2!$Q$2:$Q$71=E139), (F139="MAINT")*GT_Cost_DataSheet_PY2!$S$2:$S$71)+
SUMPRODUCT(GT_Cost_DataSheet_PY2!$X$2:$X$71, --(GT_Cost_DataSheet_PY2!$Q$2:$Q$71=E139), (F139="DEV")*GT_Cost_DataSheet_PY2!$T$2:$T$71)+
SUMPRODUCT(GT_Cost_DataSheet_PY2!$X$2:$X$71, --(GT_Cost_DataSheet_PY2!$Q$2:$Q$71=E139), (F139="COORD")*GT_Cost_DataSheet_PY2!$U$2:$U$71)+
SUMPRODUCT(GT_Cost_DataSheet_PY2!$X$2:$X$71, --(GT_Cost_DataSheet_PY2!$Q$2:$Q$71=E139), (F139="SUP")*GT_Cost_DataSheet_PY2!$V$2:$V$71)</f>
        <v>2.6349999999999998</v>
      </c>
      <c r="J139" s="184">
        <f>SUMPRODUCT(GT_Cost_DataSheet_PY2!$AB$2:$AB$71, --(GT_Cost_DataSheet_PY2!$Q$2:$Q$71=E139), (F139="OPS")*GT_Cost_DataSheet_PY2!$R$2:$R$71)+SUMPRODUCT(GT_Cost_DataSheet_PY2!$AB$2:$AB$71, --(GT_Cost_DataSheet_PY2!$Q$2:$Q$71=E139), (F139="MAINT")*GT_Cost_DataSheet_PY2!$S$2:$S$71)+SUMPRODUCT(GT_Cost_DataSheet_PY2!$AB$2:$AB$71, --(GT_Cost_DataSheet_PY2!$Q$2:$Q$71=E139), (F139="DEV")*GT_Cost_DataSheet_PY2!$T$2:$T$71)+SUMPRODUCT(GT_Cost_DataSheet_PY2!$AB$2:$AB$71, --(GT_Cost_DataSheet_PY2!$Q$2:$Q$71=E139), (F139="COORD")*GT_Cost_DataSheet_PY2!$U$2:$U$71)+SUMPRODUCT(GT_Cost_DataSheet_PY2!$AB$2:$AB$71, --(GT_Cost_DataSheet_PY2!$Q$2:$Q$71=E139), (F139="SUP")*GT_Cost_DataSheet_PY2!$V$2:$V$71)</f>
        <v>24973.924999999999</v>
      </c>
    </row>
    <row r="140" spans="1:10" s="111" customFormat="1">
      <c r="A140" s="174">
        <v>5.0999999999999996</v>
      </c>
      <c r="B140" s="117" t="s">
        <v>359</v>
      </c>
      <c r="C140" s="111" t="s">
        <v>408</v>
      </c>
      <c r="D140" s="111" t="s">
        <v>129</v>
      </c>
      <c r="E140" s="119" t="s">
        <v>129</v>
      </c>
      <c r="F140" s="121" t="s">
        <v>304</v>
      </c>
      <c r="G140" s="121" t="s">
        <v>493</v>
      </c>
      <c r="H140" s="121"/>
      <c r="I140" s="123">
        <f>SUMPRODUCT(GT_Cost_DataSheet_PY2!$X$2:$X$71, --(GT_Cost_DataSheet_PY2!$Q$2:$Q$71=E140), (F140="OPS")*GT_Cost_DataSheet_PY2!$R$2:$R$71)+
SUMPRODUCT(GT_Cost_DataSheet_PY2!$X$2:$X$71, --(GT_Cost_DataSheet_PY2!$Q$2:$Q$71=E140), (F140="MAINT")*GT_Cost_DataSheet_PY2!$S$2:$S$71)+
SUMPRODUCT(GT_Cost_DataSheet_PY2!$X$2:$X$71, --(GT_Cost_DataSheet_PY2!$Q$2:$Q$71=E140), (F140="DEV")*GT_Cost_DataSheet_PY2!$T$2:$T$71)+
SUMPRODUCT(GT_Cost_DataSheet_PY2!$X$2:$X$71, --(GT_Cost_DataSheet_PY2!$Q$2:$Q$71=E140), (F140="COORD")*GT_Cost_DataSheet_PY2!$U$2:$U$71)+
SUMPRODUCT(GT_Cost_DataSheet_PY2!$X$2:$X$71, --(GT_Cost_DataSheet_PY2!$Q$2:$Q$71=E140), (F140="SUP")*GT_Cost_DataSheet_PY2!$V$2:$V$71)</f>
        <v>2.6349999999999998</v>
      </c>
      <c r="J140" s="184">
        <f>SUMPRODUCT(GT_Cost_DataSheet_PY2!$AB$2:$AB$71, --(GT_Cost_DataSheet_PY2!$Q$2:$Q$71=E140), (F140="OPS")*GT_Cost_DataSheet_PY2!$R$2:$R$71)+SUMPRODUCT(GT_Cost_DataSheet_PY2!$AB$2:$AB$71, --(GT_Cost_DataSheet_PY2!$Q$2:$Q$71=E140), (F140="MAINT")*GT_Cost_DataSheet_PY2!$S$2:$S$71)+SUMPRODUCT(GT_Cost_DataSheet_PY2!$AB$2:$AB$71, --(GT_Cost_DataSheet_PY2!$Q$2:$Q$71=E140), (F140="DEV")*GT_Cost_DataSheet_PY2!$T$2:$T$71)+SUMPRODUCT(GT_Cost_DataSheet_PY2!$AB$2:$AB$71, --(GT_Cost_DataSheet_PY2!$Q$2:$Q$71=E140), (F140="COORD")*GT_Cost_DataSheet_PY2!$U$2:$U$71)+SUMPRODUCT(GT_Cost_DataSheet_PY2!$AB$2:$AB$71, --(GT_Cost_DataSheet_PY2!$Q$2:$Q$71=E140), (F140="SUP")*GT_Cost_DataSheet_PY2!$V$2:$V$71)</f>
        <v>24973.924999999999</v>
      </c>
    </row>
    <row r="141" spans="1:10" s="111" customFormat="1">
      <c r="A141" s="174">
        <v>5.0999999999999996</v>
      </c>
      <c r="B141" s="117" t="s">
        <v>359</v>
      </c>
      <c r="C141" s="111" t="s">
        <v>408</v>
      </c>
      <c r="D141" s="111" t="s">
        <v>402</v>
      </c>
      <c r="E141" s="119" t="s">
        <v>238</v>
      </c>
      <c r="F141" s="121" t="s">
        <v>384</v>
      </c>
      <c r="G141" s="121" t="s">
        <v>412</v>
      </c>
      <c r="H141" s="121"/>
      <c r="I141" s="123">
        <f>SUMPRODUCT(GT_Cost_DataSheet_PY2!$X$2:$X$71, --(GT_Cost_DataSheet_PY2!$Q$2:$Q$71=E141), (F141="OPS")*GT_Cost_DataSheet_PY2!$R$2:$R$71)+
SUMPRODUCT(GT_Cost_DataSheet_PY2!$X$2:$X$71, --(GT_Cost_DataSheet_PY2!$Q$2:$Q$71=E141), (F141="MAINT")*GT_Cost_DataSheet_PY2!$S$2:$S$71)+
SUMPRODUCT(GT_Cost_DataSheet_PY2!$X$2:$X$71, --(GT_Cost_DataSheet_PY2!$Q$2:$Q$71=E141), (F141="DEV")*GT_Cost_DataSheet_PY2!$T$2:$T$71)+
SUMPRODUCT(GT_Cost_DataSheet_PY2!$X$2:$X$71, --(GT_Cost_DataSheet_PY2!$Q$2:$Q$71=E141), (F141="COORD")*GT_Cost_DataSheet_PY2!$U$2:$U$71)+
SUMPRODUCT(GT_Cost_DataSheet_PY2!$X$2:$X$71, --(GT_Cost_DataSheet_PY2!$Q$2:$Q$71=E141), (F141="SUP")*GT_Cost_DataSheet_PY2!$V$2:$V$71)</f>
        <v>2.9599497171590174</v>
      </c>
      <c r="J141" s="184">
        <f>SUMPRODUCT(GT_Cost_DataSheet_PY2!$AB$2:$AB$71, --(GT_Cost_DataSheet_PY2!$Q$2:$Q$71=E141), (F141="OPS")*GT_Cost_DataSheet_PY2!$R$2:$R$71)+SUMPRODUCT(GT_Cost_DataSheet_PY2!$AB$2:$AB$71, --(GT_Cost_DataSheet_PY2!$Q$2:$Q$71=E141), (F141="MAINT")*GT_Cost_DataSheet_PY2!$S$2:$S$71)+SUMPRODUCT(GT_Cost_DataSheet_PY2!$AB$2:$AB$71, --(GT_Cost_DataSheet_PY2!$Q$2:$Q$71=E141), (F141="DEV")*GT_Cost_DataSheet_PY2!$T$2:$T$71)+SUMPRODUCT(GT_Cost_DataSheet_PY2!$AB$2:$AB$71, --(GT_Cost_DataSheet_PY2!$Q$2:$Q$71=E141), (F141="COORD")*GT_Cost_DataSheet_PY2!$U$2:$U$71)+SUMPRODUCT(GT_Cost_DataSheet_PY2!$AB$2:$AB$71, --(GT_Cost_DataSheet_PY2!$Q$2:$Q$71=E141), (F141="SUP")*GT_Cost_DataSheet_PY2!$V$2:$V$71)</f>
        <v>26330.031499999997</v>
      </c>
    </row>
    <row r="142" spans="1:10" s="111" customFormat="1">
      <c r="A142" s="174">
        <v>5.0999999999999996</v>
      </c>
      <c r="B142" s="117" t="s">
        <v>359</v>
      </c>
      <c r="C142" s="111" t="s">
        <v>408</v>
      </c>
      <c r="D142" s="94" t="s">
        <v>407</v>
      </c>
      <c r="E142" s="119" t="s">
        <v>376</v>
      </c>
      <c r="F142" s="121" t="s">
        <v>384</v>
      </c>
      <c r="G142" s="121" t="s">
        <v>496</v>
      </c>
      <c r="H142" s="121"/>
      <c r="I142" s="123">
        <f>SUMPRODUCT(GT_Cost_DataSheet_PY2!$X$2:$X$71, --(GT_Cost_DataSheet_PY2!$Q$2:$Q$71=E142), (F142="OPS")*GT_Cost_DataSheet_PY2!$R$2:$R$71)+
SUMPRODUCT(GT_Cost_DataSheet_PY2!$X$2:$X$71, --(GT_Cost_DataSheet_PY2!$Q$2:$Q$71=E142), (F142="MAINT")*GT_Cost_DataSheet_PY2!$S$2:$S$71)+
SUMPRODUCT(GT_Cost_DataSheet_PY2!$X$2:$X$71, --(GT_Cost_DataSheet_PY2!$Q$2:$Q$71=E142), (F142="DEV")*GT_Cost_DataSheet_PY2!$T$2:$T$71)+
SUMPRODUCT(GT_Cost_DataSheet_PY2!$X$2:$X$71, --(GT_Cost_DataSheet_PY2!$Q$2:$Q$71=E142), (F142="COORD")*GT_Cost_DataSheet_PY2!$U$2:$U$71)+
SUMPRODUCT(GT_Cost_DataSheet_PY2!$X$2:$X$71, --(GT_Cost_DataSheet_PY2!$Q$2:$Q$71=E142), (F142="SUP")*GT_Cost_DataSheet_PY2!$V$2:$V$71)</f>
        <v>3.0610903293476008</v>
      </c>
      <c r="J142" s="184">
        <f>SUMPRODUCT(GT_Cost_DataSheet_PY2!$AB$2:$AB$71, --(GT_Cost_DataSheet_PY2!$Q$2:$Q$71=E142), (F142="OPS")*GT_Cost_DataSheet_PY2!$R$2:$R$71)+SUMPRODUCT(GT_Cost_DataSheet_PY2!$AB$2:$AB$71, --(GT_Cost_DataSheet_PY2!$Q$2:$Q$71=E142), (F142="MAINT")*GT_Cost_DataSheet_PY2!$S$2:$S$71)+SUMPRODUCT(GT_Cost_DataSheet_PY2!$AB$2:$AB$71, --(GT_Cost_DataSheet_PY2!$Q$2:$Q$71=E142), (F142="DEV")*GT_Cost_DataSheet_PY2!$T$2:$T$71)+SUMPRODUCT(GT_Cost_DataSheet_PY2!$AB$2:$AB$71, --(GT_Cost_DataSheet_PY2!$Q$2:$Q$71=E142), (F142="COORD")*GT_Cost_DataSheet_PY2!$U$2:$U$71)+SUMPRODUCT(GT_Cost_DataSheet_PY2!$AB$2:$AB$71, --(GT_Cost_DataSheet_PY2!$Q$2:$Q$71=E142), (F142="SUP")*GT_Cost_DataSheet_PY2!$V$2:$V$71)</f>
        <v>24357.9944</v>
      </c>
    </row>
    <row r="143" spans="1:10" s="111" customFormat="1">
      <c r="A143" s="174">
        <v>5.0999999999999996</v>
      </c>
      <c r="B143" s="117" t="s">
        <v>359</v>
      </c>
      <c r="C143" s="111" t="s">
        <v>408</v>
      </c>
      <c r="D143" s="111" t="s">
        <v>360</v>
      </c>
      <c r="E143" s="119" t="s">
        <v>193</v>
      </c>
      <c r="F143" s="121" t="s">
        <v>304</v>
      </c>
      <c r="G143" s="121" t="s">
        <v>493</v>
      </c>
      <c r="H143" s="121"/>
      <c r="I143" s="123">
        <f>SUMPRODUCT(GT_Cost_DataSheet_PY2!$X$2:$X$71, --(GT_Cost_DataSheet_PY2!$Q$2:$Q$71=E143), (F143="OPS")*GT_Cost_DataSheet_PY2!$R$2:$R$71)+
SUMPRODUCT(GT_Cost_DataSheet_PY2!$X$2:$X$71, --(GT_Cost_DataSheet_PY2!$Q$2:$Q$71=E143), (F143="MAINT")*GT_Cost_DataSheet_PY2!$S$2:$S$71)+
SUMPRODUCT(GT_Cost_DataSheet_PY2!$X$2:$X$71, --(GT_Cost_DataSheet_PY2!$Q$2:$Q$71=E143), (F143="DEV")*GT_Cost_DataSheet_PY2!$T$2:$T$71)+
SUMPRODUCT(GT_Cost_DataSheet_PY2!$X$2:$X$71, --(GT_Cost_DataSheet_PY2!$Q$2:$Q$71=E143), (F143="COORD")*GT_Cost_DataSheet_PY2!$U$2:$U$71)+
SUMPRODUCT(GT_Cost_DataSheet_PY2!$X$2:$X$71, --(GT_Cost_DataSheet_PY2!$Q$2:$Q$71=E143), (F143="SUP")*GT_Cost_DataSheet_PY2!$V$2:$V$71)</f>
        <v>3.3093309438470744</v>
      </c>
      <c r="J143" s="184">
        <f>SUMPRODUCT(GT_Cost_DataSheet_PY2!$AB$2:$AB$71, --(GT_Cost_DataSheet_PY2!$Q$2:$Q$71=E143), (F143="OPS")*GT_Cost_DataSheet_PY2!$R$2:$R$71)+SUMPRODUCT(GT_Cost_DataSheet_PY2!$AB$2:$AB$71, --(GT_Cost_DataSheet_PY2!$Q$2:$Q$71=E143), (F143="MAINT")*GT_Cost_DataSheet_PY2!$S$2:$S$71)+SUMPRODUCT(GT_Cost_DataSheet_PY2!$AB$2:$AB$71, --(GT_Cost_DataSheet_PY2!$Q$2:$Q$71=E143), (F143="DEV")*GT_Cost_DataSheet_PY2!$T$2:$T$71)+SUMPRODUCT(GT_Cost_DataSheet_PY2!$AB$2:$AB$71, --(GT_Cost_DataSheet_PY2!$Q$2:$Q$71=E143), (F143="COORD")*GT_Cost_DataSheet_PY2!$U$2:$U$71)+SUMPRODUCT(GT_Cost_DataSheet_PY2!$AB$2:$AB$71, --(GT_Cost_DataSheet_PY2!$Q$2:$Q$71=E143), (F143="SUP")*GT_Cost_DataSheet_PY2!$V$2:$V$71)</f>
        <v>49778.125740303854</v>
      </c>
    </row>
    <row r="144" spans="1:10" s="111" customFormat="1">
      <c r="A144" s="174">
        <v>5.0999999999999996</v>
      </c>
      <c r="B144" s="117" t="s">
        <v>359</v>
      </c>
      <c r="C144" s="111" t="s">
        <v>408</v>
      </c>
      <c r="D144" s="111" t="s">
        <v>150</v>
      </c>
      <c r="E144" s="119" t="s">
        <v>208</v>
      </c>
      <c r="F144" s="121" t="s">
        <v>384</v>
      </c>
      <c r="G144" s="121" t="s">
        <v>412</v>
      </c>
      <c r="H144" s="121"/>
      <c r="I144" s="123">
        <f>SUMPRODUCT(GT_Cost_DataSheet_PY2!$X$2:$X$71, --(GT_Cost_DataSheet_PY2!$Q$2:$Q$71=E144), (F144="OPS")*GT_Cost_DataSheet_PY2!$R$2:$R$71)+
SUMPRODUCT(GT_Cost_DataSheet_PY2!$X$2:$X$71, --(GT_Cost_DataSheet_PY2!$Q$2:$Q$71=E144), (F144="MAINT")*GT_Cost_DataSheet_PY2!$S$2:$S$71)+
SUMPRODUCT(GT_Cost_DataSheet_PY2!$X$2:$X$71, --(GT_Cost_DataSheet_PY2!$Q$2:$Q$71=E144), (F144="DEV")*GT_Cost_DataSheet_PY2!$T$2:$T$71)+
SUMPRODUCT(GT_Cost_DataSheet_PY2!$X$2:$X$71, --(GT_Cost_DataSheet_PY2!$Q$2:$Q$71=E144), (F144="COORD")*GT_Cost_DataSheet_PY2!$U$2:$U$71)+
SUMPRODUCT(GT_Cost_DataSheet_PY2!$X$2:$X$71, --(GT_Cost_DataSheet_PY2!$Q$2:$Q$71=E144), (F144="SUP")*GT_Cost_DataSheet_PY2!$V$2:$V$71)</f>
        <v>3.361927262494</v>
      </c>
      <c r="J144" s="184">
        <f>SUMPRODUCT(GT_Cost_DataSheet_PY2!$AB$2:$AB$71, --(GT_Cost_DataSheet_PY2!$Q$2:$Q$71=E144), (F144="OPS")*GT_Cost_DataSheet_PY2!$R$2:$R$71)+SUMPRODUCT(GT_Cost_DataSheet_PY2!$AB$2:$AB$71, --(GT_Cost_DataSheet_PY2!$Q$2:$Q$71=E144), (F144="MAINT")*GT_Cost_DataSheet_PY2!$S$2:$S$71)+SUMPRODUCT(GT_Cost_DataSheet_PY2!$AB$2:$AB$71, --(GT_Cost_DataSheet_PY2!$Q$2:$Q$71=E144), (F144="DEV")*GT_Cost_DataSheet_PY2!$T$2:$T$71)+SUMPRODUCT(GT_Cost_DataSheet_PY2!$AB$2:$AB$71, --(GT_Cost_DataSheet_PY2!$Q$2:$Q$71=E144), (F144="COORD")*GT_Cost_DataSheet_PY2!$U$2:$U$71)+SUMPRODUCT(GT_Cost_DataSheet_PY2!$AB$2:$AB$71, --(GT_Cost_DataSheet_PY2!$Q$2:$Q$71=E144), (F144="SUP")*GT_Cost_DataSheet_PY2!$V$2:$V$71)</f>
        <v>20729.836146249101</v>
      </c>
    </row>
    <row r="145" spans="1:12" s="111" customFormat="1">
      <c r="A145" s="174">
        <v>5.0999999999999996</v>
      </c>
      <c r="B145" s="117" t="s">
        <v>359</v>
      </c>
      <c r="C145" s="111" t="s">
        <v>408</v>
      </c>
      <c r="D145" s="111" t="s">
        <v>151</v>
      </c>
      <c r="E145" s="119" t="s">
        <v>190</v>
      </c>
      <c r="F145" s="121" t="s">
        <v>384</v>
      </c>
      <c r="G145" s="121" t="s">
        <v>412</v>
      </c>
      <c r="H145" s="121"/>
      <c r="I145" s="123">
        <f>SUMPRODUCT(GT_Cost_DataSheet_PY2!$X$2:$X$71, --(GT_Cost_DataSheet_PY2!$Q$2:$Q$71=E145), (F145="OPS")*GT_Cost_DataSheet_PY2!$R$2:$R$71)+
SUMPRODUCT(GT_Cost_DataSheet_PY2!$X$2:$X$71, --(GT_Cost_DataSheet_PY2!$Q$2:$Q$71=E145), (F145="MAINT")*GT_Cost_DataSheet_PY2!$S$2:$S$71)+
SUMPRODUCT(GT_Cost_DataSheet_PY2!$X$2:$X$71, --(GT_Cost_DataSheet_PY2!$Q$2:$Q$71=E145), (F145="DEV")*GT_Cost_DataSheet_PY2!$T$2:$T$71)+
SUMPRODUCT(GT_Cost_DataSheet_PY2!$X$2:$X$71, --(GT_Cost_DataSheet_PY2!$Q$2:$Q$71=E145), (F145="COORD")*GT_Cost_DataSheet_PY2!$U$2:$U$71)+
SUMPRODUCT(GT_Cost_DataSheet_PY2!$X$2:$X$71, --(GT_Cost_DataSheet_PY2!$Q$2:$Q$71=E145), (F145="SUP")*GT_Cost_DataSheet_PY2!$V$2:$V$71)</f>
        <v>4.382953181272514</v>
      </c>
      <c r="J145" s="184">
        <f>SUMPRODUCT(GT_Cost_DataSheet_PY2!$AB$2:$AB$71, --(GT_Cost_DataSheet_PY2!$Q$2:$Q$71=E145), (F145="OPS")*GT_Cost_DataSheet_PY2!$R$2:$R$71)+SUMPRODUCT(GT_Cost_DataSheet_PY2!$AB$2:$AB$71, --(GT_Cost_DataSheet_PY2!$Q$2:$Q$71=E145), (F145="MAINT")*GT_Cost_DataSheet_PY2!$S$2:$S$71)+SUMPRODUCT(GT_Cost_DataSheet_PY2!$AB$2:$AB$71, --(GT_Cost_DataSheet_PY2!$Q$2:$Q$71=E145), (F145="DEV")*GT_Cost_DataSheet_PY2!$T$2:$T$71)+SUMPRODUCT(GT_Cost_DataSheet_PY2!$AB$2:$AB$71, --(GT_Cost_DataSheet_PY2!$Q$2:$Q$71=E145), (F145="COORD")*GT_Cost_DataSheet_PY2!$U$2:$U$71)+SUMPRODUCT(GT_Cost_DataSheet_PY2!$AB$2:$AB$71, --(GT_Cost_DataSheet_PY2!$Q$2:$Q$71=E145), (F145="SUP")*GT_Cost_DataSheet_PY2!$V$2:$V$71)</f>
        <v>22657.935999999998</v>
      </c>
    </row>
    <row r="146" spans="1:12" s="111" customFormat="1">
      <c r="A146" s="174">
        <v>5.0999999999999996</v>
      </c>
      <c r="B146" s="117" t="s">
        <v>359</v>
      </c>
      <c r="C146" s="111" t="s">
        <v>408</v>
      </c>
      <c r="D146" s="111" t="s">
        <v>151</v>
      </c>
      <c r="E146" s="119" t="s">
        <v>190</v>
      </c>
      <c r="F146" s="121" t="s">
        <v>304</v>
      </c>
      <c r="G146" s="121" t="s">
        <v>493</v>
      </c>
      <c r="H146" s="121"/>
      <c r="I146" s="123">
        <f>SUMPRODUCT(GT_Cost_DataSheet_PY2!$X$2:$X$71, --(GT_Cost_DataSheet_PY2!$Q$2:$Q$71=E146), (F146="OPS")*GT_Cost_DataSheet_PY2!$R$2:$R$71)+
SUMPRODUCT(GT_Cost_DataSheet_PY2!$X$2:$X$71, --(GT_Cost_DataSheet_PY2!$Q$2:$Q$71=E146), (F146="MAINT")*GT_Cost_DataSheet_PY2!$S$2:$S$71)+
SUMPRODUCT(GT_Cost_DataSheet_PY2!$X$2:$X$71, --(GT_Cost_DataSheet_PY2!$Q$2:$Q$71=E146), (F146="DEV")*GT_Cost_DataSheet_PY2!$T$2:$T$71)+
SUMPRODUCT(GT_Cost_DataSheet_PY2!$X$2:$X$71, --(GT_Cost_DataSheet_PY2!$Q$2:$Q$71=E146), (F146="COORD")*GT_Cost_DataSheet_PY2!$U$2:$U$71)+
SUMPRODUCT(GT_Cost_DataSheet_PY2!$X$2:$X$71, --(GT_Cost_DataSheet_PY2!$Q$2:$Q$71=E146), (F146="SUP")*GT_Cost_DataSheet_PY2!$V$2:$V$71)</f>
        <v>5.0500224176982327</v>
      </c>
      <c r="J146" s="184">
        <f>SUMPRODUCT(GT_Cost_DataSheet_PY2!$AB$2:$AB$71, --(GT_Cost_DataSheet_PY2!$Q$2:$Q$71=E146), (F146="OPS")*GT_Cost_DataSheet_PY2!$R$2:$R$71)+SUMPRODUCT(GT_Cost_DataSheet_PY2!$AB$2:$AB$71, --(GT_Cost_DataSheet_PY2!$Q$2:$Q$71=E146), (F146="MAINT")*GT_Cost_DataSheet_PY2!$S$2:$S$71)+SUMPRODUCT(GT_Cost_DataSheet_PY2!$AB$2:$AB$71, --(GT_Cost_DataSheet_PY2!$Q$2:$Q$71=E146), (F146="DEV")*GT_Cost_DataSheet_PY2!$T$2:$T$71)+SUMPRODUCT(GT_Cost_DataSheet_PY2!$AB$2:$AB$71, --(GT_Cost_DataSheet_PY2!$Q$2:$Q$71=E146), (F146="COORD")*GT_Cost_DataSheet_PY2!$U$2:$U$71)+SUMPRODUCT(GT_Cost_DataSheet_PY2!$AB$2:$AB$71, --(GT_Cost_DataSheet_PY2!$Q$2:$Q$71=E146), (F146="SUP")*GT_Cost_DataSheet_PY2!$V$2:$V$71)</f>
        <v>33837.620699999999</v>
      </c>
    </row>
    <row r="147" spans="1:12" s="111" customFormat="1">
      <c r="A147" s="174">
        <v>5.0999999999999996</v>
      </c>
      <c r="B147" s="117" t="s">
        <v>359</v>
      </c>
      <c r="C147" s="111" t="s">
        <v>408</v>
      </c>
      <c r="D147" s="111" t="s">
        <v>150</v>
      </c>
      <c r="E147" s="119" t="s">
        <v>208</v>
      </c>
      <c r="F147" s="121" t="s">
        <v>463</v>
      </c>
      <c r="G147" s="121" t="s">
        <v>412</v>
      </c>
      <c r="H147" s="121"/>
      <c r="I147" s="123">
        <f>SUMPRODUCT(GT_Cost_DataSheet_PY2!$X$2:$X$71, --(GT_Cost_DataSheet_PY2!$Q$2:$Q$71=E147), (F147="OPS")*GT_Cost_DataSheet_PY2!$R$2:$R$71)+
SUMPRODUCT(GT_Cost_DataSheet_PY2!$X$2:$X$71, --(GT_Cost_DataSheet_PY2!$Q$2:$Q$71=E147), (F147="MAINT")*GT_Cost_DataSheet_PY2!$S$2:$S$71)+
SUMPRODUCT(GT_Cost_DataSheet_PY2!$X$2:$X$71, --(GT_Cost_DataSheet_PY2!$Q$2:$Q$71=E147), (F147="DEV")*GT_Cost_DataSheet_PY2!$T$2:$T$71)+
SUMPRODUCT(GT_Cost_DataSheet_PY2!$X$2:$X$71, --(GT_Cost_DataSheet_PY2!$Q$2:$Q$71=E147), (F147="COORD")*GT_Cost_DataSheet_PY2!$U$2:$U$71)+
SUMPRODUCT(GT_Cost_DataSheet_PY2!$X$2:$X$71, --(GT_Cost_DataSheet_PY2!$Q$2:$Q$71=E147), (F147="SUP")*GT_Cost_DataSheet_PY2!$V$2:$V$71)</f>
        <v>5.0716370607028729</v>
      </c>
      <c r="J147" s="184">
        <f>SUMPRODUCT(GT_Cost_DataSheet_PY2!$AB$2:$AB$71, --(GT_Cost_DataSheet_PY2!$Q$2:$Q$71=E147), (F147="OPS")*GT_Cost_DataSheet_PY2!$R$2:$R$71)+SUMPRODUCT(GT_Cost_DataSheet_PY2!$AB$2:$AB$71, --(GT_Cost_DataSheet_PY2!$Q$2:$Q$71=E147), (F147="MAINT")*GT_Cost_DataSheet_PY2!$S$2:$S$71)+SUMPRODUCT(GT_Cost_DataSheet_PY2!$AB$2:$AB$71, --(GT_Cost_DataSheet_PY2!$Q$2:$Q$71=E147), (F147="DEV")*GT_Cost_DataSheet_PY2!$T$2:$T$71)+SUMPRODUCT(GT_Cost_DataSheet_PY2!$AB$2:$AB$71, --(GT_Cost_DataSheet_PY2!$Q$2:$Q$71=E147), (F147="COORD")*GT_Cost_DataSheet_PY2!$U$2:$U$71)+SUMPRODUCT(GT_Cost_DataSheet_PY2!$AB$2:$AB$71, --(GT_Cost_DataSheet_PY2!$Q$2:$Q$71=E147), (F147="SUP")*GT_Cost_DataSheet_PY2!$V$2:$V$71)</f>
        <v>34526.404676435755</v>
      </c>
    </row>
    <row r="148" spans="1:12" s="111" customFormat="1">
      <c r="A148" s="174">
        <v>5.0999999999999996</v>
      </c>
      <c r="B148" s="117" t="s">
        <v>359</v>
      </c>
      <c r="C148" s="111" t="s">
        <v>408</v>
      </c>
      <c r="D148" s="111" t="s">
        <v>149</v>
      </c>
      <c r="E148" s="119" t="s">
        <v>305</v>
      </c>
      <c r="F148" s="121" t="s">
        <v>384</v>
      </c>
      <c r="G148" s="121" t="s">
        <v>412</v>
      </c>
      <c r="H148" s="121"/>
      <c r="I148" s="123">
        <f>SUMPRODUCT(GT_Cost_DataSheet_PY2!$X$2:$X$71, --(GT_Cost_DataSheet_PY2!$Q$2:$Q$71=E148), (F148="OPS")*GT_Cost_DataSheet_PY2!$R$2:$R$71)+
SUMPRODUCT(GT_Cost_DataSheet_PY2!$X$2:$X$71, --(GT_Cost_DataSheet_PY2!$Q$2:$Q$71=E148), (F148="MAINT")*GT_Cost_DataSheet_PY2!$S$2:$S$71)+
SUMPRODUCT(GT_Cost_DataSheet_PY2!$X$2:$X$71, --(GT_Cost_DataSheet_PY2!$Q$2:$Q$71=E148), (F148="DEV")*GT_Cost_DataSheet_PY2!$T$2:$T$71)+
SUMPRODUCT(GT_Cost_DataSheet_PY2!$X$2:$X$71, --(GT_Cost_DataSheet_PY2!$Q$2:$Q$71=E148), (F148="COORD")*GT_Cost_DataSheet_PY2!$U$2:$U$71)+
SUMPRODUCT(GT_Cost_DataSheet_PY2!$X$2:$X$71, --(GT_Cost_DataSheet_PY2!$Q$2:$Q$71=E148), (F148="SUP")*GT_Cost_DataSheet_PY2!$V$2:$V$71)</f>
        <v>5.4799348694316432</v>
      </c>
      <c r="J148" s="184">
        <f>SUMPRODUCT(GT_Cost_DataSheet_PY2!$AB$2:$AB$71, --(GT_Cost_DataSheet_PY2!$Q$2:$Q$71=E148), (F148="OPS")*GT_Cost_DataSheet_PY2!$R$2:$R$71)+SUMPRODUCT(GT_Cost_DataSheet_PY2!$AB$2:$AB$71, --(GT_Cost_DataSheet_PY2!$Q$2:$Q$71=E148), (F148="MAINT")*GT_Cost_DataSheet_PY2!$S$2:$S$71)+SUMPRODUCT(GT_Cost_DataSheet_PY2!$AB$2:$AB$71, --(GT_Cost_DataSheet_PY2!$Q$2:$Q$71=E148), (F148="DEV")*GT_Cost_DataSheet_PY2!$T$2:$T$71)+SUMPRODUCT(GT_Cost_DataSheet_PY2!$AB$2:$AB$71, --(GT_Cost_DataSheet_PY2!$Q$2:$Q$71=E148), (F148="COORD")*GT_Cost_DataSheet_PY2!$U$2:$U$71)+SUMPRODUCT(GT_Cost_DataSheet_PY2!$AB$2:$AB$71, --(GT_Cost_DataSheet_PY2!$Q$2:$Q$71=E148), (F148="SUP")*GT_Cost_DataSheet_PY2!$V$2:$V$71)</f>
        <v>50811.875034985744</v>
      </c>
    </row>
    <row r="149" spans="1:12" s="111" customFormat="1">
      <c r="A149" s="174">
        <v>5.0999999999999996</v>
      </c>
      <c r="B149" s="117" t="s">
        <v>359</v>
      </c>
      <c r="C149" s="111" t="s">
        <v>408</v>
      </c>
      <c r="D149" s="111" t="s">
        <v>360</v>
      </c>
      <c r="E149" s="119" t="s">
        <v>193</v>
      </c>
      <c r="F149" s="121" t="s">
        <v>463</v>
      </c>
      <c r="G149" s="121" t="s">
        <v>412</v>
      </c>
      <c r="H149" s="121"/>
      <c r="I149" s="123">
        <f>SUMPRODUCT(GT_Cost_DataSheet_PY2!$X$2:$X$71, --(GT_Cost_DataSheet_PY2!$Q$2:$Q$71=E149), (F149="OPS")*GT_Cost_DataSheet_PY2!$R$2:$R$71)+
SUMPRODUCT(GT_Cost_DataSheet_PY2!$X$2:$X$71, --(GT_Cost_DataSheet_PY2!$Q$2:$Q$71=E149), (F149="MAINT")*GT_Cost_DataSheet_PY2!$S$2:$S$71)+
SUMPRODUCT(GT_Cost_DataSheet_PY2!$X$2:$X$71, --(GT_Cost_DataSheet_PY2!$Q$2:$Q$71=E149), (F149="DEV")*GT_Cost_DataSheet_PY2!$T$2:$T$71)+
SUMPRODUCT(GT_Cost_DataSheet_PY2!$X$2:$X$71, --(GT_Cost_DataSheet_PY2!$Q$2:$Q$71=E149), (F149="COORD")*GT_Cost_DataSheet_PY2!$U$2:$U$71)+
SUMPRODUCT(GT_Cost_DataSheet_PY2!$X$2:$X$71, --(GT_Cost_DataSheet_PY2!$Q$2:$Q$71=E149), (F149="SUP")*GT_Cost_DataSheet_PY2!$V$2:$V$71)</f>
        <v>6.1459003242874246</v>
      </c>
      <c r="J149" s="184">
        <f>SUMPRODUCT(GT_Cost_DataSheet_PY2!$AB$2:$AB$71, --(GT_Cost_DataSheet_PY2!$Q$2:$Q$71=E149), (F149="OPS")*GT_Cost_DataSheet_PY2!$R$2:$R$71)+SUMPRODUCT(GT_Cost_DataSheet_PY2!$AB$2:$AB$71, --(GT_Cost_DataSheet_PY2!$Q$2:$Q$71=E149), (F149="MAINT")*GT_Cost_DataSheet_PY2!$S$2:$S$71)+SUMPRODUCT(GT_Cost_DataSheet_PY2!$AB$2:$AB$71, --(GT_Cost_DataSheet_PY2!$Q$2:$Q$71=E149), (F149="DEV")*GT_Cost_DataSheet_PY2!$T$2:$T$71)+SUMPRODUCT(GT_Cost_DataSheet_PY2!$AB$2:$AB$71, --(GT_Cost_DataSheet_PY2!$Q$2:$Q$71=E149), (F149="COORD")*GT_Cost_DataSheet_PY2!$U$2:$U$71)+SUMPRODUCT(GT_Cost_DataSheet_PY2!$AB$2:$AB$71, --(GT_Cost_DataSheet_PY2!$Q$2:$Q$71=E149), (F149="SUP")*GT_Cost_DataSheet_PY2!$V$2:$V$71)</f>
        <v>92445.09066056431</v>
      </c>
    </row>
    <row r="150" spans="1:12">
      <c r="A150" s="174">
        <v>5.0999999999999996</v>
      </c>
      <c r="B150" s="117" t="s">
        <v>359</v>
      </c>
      <c r="C150" s="111" t="s">
        <v>408</v>
      </c>
      <c r="D150" s="111" t="s">
        <v>129</v>
      </c>
      <c r="E150" s="119" t="s">
        <v>129</v>
      </c>
      <c r="F150" s="121" t="s">
        <v>384</v>
      </c>
      <c r="G150" s="121" t="s">
        <v>412</v>
      </c>
      <c r="H150" s="121"/>
      <c r="I150" s="123">
        <f>SUMPRODUCT(GT_Cost_DataSheet_PY2!$X$2:$X$71, --(GT_Cost_DataSheet_PY2!$Q$2:$Q$71=E150), (F150="OPS")*GT_Cost_DataSheet_PY2!$R$2:$R$71)+
SUMPRODUCT(GT_Cost_DataSheet_PY2!$X$2:$X$71, --(GT_Cost_DataSheet_PY2!$Q$2:$Q$71=E150), (F150="MAINT")*GT_Cost_DataSheet_PY2!$S$2:$S$71)+
SUMPRODUCT(GT_Cost_DataSheet_PY2!$X$2:$X$71, --(GT_Cost_DataSheet_PY2!$Q$2:$Q$71=E150), (F150="DEV")*GT_Cost_DataSheet_PY2!$T$2:$T$71)+
SUMPRODUCT(GT_Cost_DataSheet_PY2!$X$2:$X$71, --(GT_Cost_DataSheet_PY2!$Q$2:$Q$71=E150), (F150="COORD")*GT_Cost_DataSheet_PY2!$U$2:$U$71)+
SUMPRODUCT(GT_Cost_DataSheet_PY2!$X$2:$X$71, --(GT_Cost_DataSheet_PY2!$Q$2:$Q$71=E150), (F150="SUP")*GT_Cost_DataSheet_PY2!$V$2:$V$71)</f>
        <v>6.2204651162790681</v>
      </c>
      <c r="J150" s="184">
        <f>SUMPRODUCT(GT_Cost_DataSheet_PY2!$AB$2:$AB$71, --(GT_Cost_DataSheet_PY2!$Q$2:$Q$71=E150), (F150="OPS")*GT_Cost_DataSheet_PY2!$R$2:$R$71)+SUMPRODUCT(GT_Cost_DataSheet_PY2!$AB$2:$AB$71, --(GT_Cost_DataSheet_PY2!$Q$2:$Q$71=E150), (F150="MAINT")*GT_Cost_DataSheet_PY2!$S$2:$S$71)+SUMPRODUCT(GT_Cost_DataSheet_PY2!$AB$2:$AB$71, --(GT_Cost_DataSheet_PY2!$Q$2:$Q$71=E150), (F150="DEV")*GT_Cost_DataSheet_PY2!$T$2:$T$71)+SUMPRODUCT(GT_Cost_DataSheet_PY2!$AB$2:$AB$71, --(GT_Cost_DataSheet_PY2!$Q$2:$Q$71=E150), (F150="COORD")*GT_Cost_DataSheet_PY2!$U$2:$U$71)+SUMPRODUCT(GT_Cost_DataSheet_PY2!$AB$2:$AB$71, --(GT_Cost_DataSheet_PY2!$Q$2:$Q$71=E150), (F150="SUP")*GT_Cost_DataSheet_PY2!$V$2:$V$71)</f>
        <v>40068.432000000001</v>
      </c>
      <c r="K150" s="111"/>
      <c r="L150" s="111"/>
    </row>
    <row r="151" spans="1:12" s="111" customFormat="1">
      <c r="A151" s="174">
        <v>5.0999999999999996</v>
      </c>
      <c r="B151" s="117" t="s">
        <v>359</v>
      </c>
      <c r="C151" s="111" t="s">
        <v>408</v>
      </c>
      <c r="D151" s="111" t="s">
        <v>151</v>
      </c>
      <c r="E151" s="119" t="s">
        <v>190</v>
      </c>
      <c r="F151" s="121" t="s">
        <v>463</v>
      </c>
      <c r="G151" s="121" t="s">
        <v>412</v>
      </c>
      <c r="H151" s="121"/>
      <c r="I151" s="123">
        <f>SUMPRODUCT(GT_Cost_DataSheet_PY2!$X$2:$X$71, --(GT_Cost_DataSheet_PY2!$Q$2:$Q$71=E151), (F151="OPS")*GT_Cost_DataSheet_PY2!$R$2:$R$71)+
SUMPRODUCT(GT_Cost_DataSheet_PY2!$X$2:$X$71, --(GT_Cost_DataSheet_PY2!$Q$2:$Q$71=E151), (F151="MAINT")*GT_Cost_DataSheet_PY2!$S$2:$S$71)+
SUMPRODUCT(GT_Cost_DataSheet_PY2!$X$2:$X$71, --(GT_Cost_DataSheet_PY2!$Q$2:$Q$71=E151), (F151="DEV")*GT_Cost_DataSheet_PY2!$T$2:$T$71)+
SUMPRODUCT(GT_Cost_DataSheet_PY2!$X$2:$X$71, --(GT_Cost_DataSheet_PY2!$Q$2:$Q$71=E151), (F151="COORD")*GT_Cost_DataSheet_PY2!$U$2:$U$71)+
SUMPRODUCT(GT_Cost_DataSheet_PY2!$X$2:$X$71, --(GT_Cost_DataSheet_PY2!$Q$2:$Q$71=E151), (F151="SUP")*GT_Cost_DataSheet_PY2!$V$2:$V$71)</f>
        <v>11.783385641295876</v>
      </c>
      <c r="J151" s="184">
        <f>SUMPRODUCT(GT_Cost_DataSheet_PY2!$AB$2:$AB$71, --(GT_Cost_DataSheet_PY2!$Q$2:$Q$71=E151), (F151="OPS")*GT_Cost_DataSheet_PY2!$R$2:$R$71)+SUMPRODUCT(GT_Cost_DataSheet_PY2!$AB$2:$AB$71, --(GT_Cost_DataSheet_PY2!$Q$2:$Q$71=E151), (F151="MAINT")*GT_Cost_DataSheet_PY2!$S$2:$S$71)+SUMPRODUCT(GT_Cost_DataSheet_PY2!$AB$2:$AB$71, --(GT_Cost_DataSheet_PY2!$Q$2:$Q$71=E151), (F151="DEV")*GT_Cost_DataSheet_PY2!$T$2:$T$71)+SUMPRODUCT(GT_Cost_DataSheet_PY2!$AB$2:$AB$71, --(GT_Cost_DataSheet_PY2!$Q$2:$Q$71=E151), (F151="COORD")*GT_Cost_DataSheet_PY2!$U$2:$U$71)+SUMPRODUCT(GT_Cost_DataSheet_PY2!$AB$2:$AB$71, --(GT_Cost_DataSheet_PY2!$Q$2:$Q$71=E151), (F151="SUP")*GT_Cost_DataSheet_PY2!$V$2:$V$71)</f>
        <v>78954.448300000004</v>
      </c>
    </row>
    <row r="152" spans="1:12" s="111" customFormat="1">
      <c r="A152" s="174">
        <v>5.0999999999999996</v>
      </c>
      <c r="B152" s="117" t="s">
        <v>359</v>
      </c>
      <c r="C152" s="111" t="s">
        <v>408</v>
      </c>
      <c r="D152" s="111" t="s">
        <v>340</v>
      </c>
      <c r="E152" s="119" t="s">
        <v>367</v>
      </c>
      <c r="F152" s="121" t="s">
        <v>384</v>
      </c>
      <c r="G152" s="121" t="s">
        <v>412</v>
      </c>
      <c r="H152" s="121"/>
      <c r="I152" s="123">
        <f>SUMPRODUCT(GT_Cost_DataSheet_PY2!$X$2:$X$71, --(GT_Cost_DataSheet_PY2!$Q$2:$Q$71=E152), (F152="OPS")*GT_Cost_DataSheet_PY2!$R$2:$R$71)+
SUMPRODUCT(GT_Cost_DataSheet_PY2!$X$2:$X$71, --(GT_Cost_DataSheet_PY2!$Q$2:$Q$71=E152), (F152="MAINT")*GT_Cost_DataSheet_PY2!$S$2:$S$71)+
SUMPRODUCT(GT_Cost_DataSheet_PY2!$X$2:$X$71, --(GT_Cost_DataSheet_PY2!$Q$2:$Q$71=E152), (F152="DEV")*GT_Cost_DataSheet_PY2!$T$2:$T$71)+
SUMPRODUCT(GT_Cost_DataSheet_PY2!$X$2:$X$71, --(GT_Cost_DataSheet_PY2!$Q$2:$Q$71=E152), (F152="COORD")*GT_Cost_DataSheet_PY2!$U$2:$U$71)+
SUMPRODUCT(GT_Cost_DataSheet_PY2!$X$2:$X$71, --(GT_Cost_DataSheet_PY2!$Q$2:$Q$71=E152), (F152="SUP")*GT_Cost_DataSheet_PY2!$V$2:$V$71)</f>
        <v>12.873786407766987</v>
      </c>
      <c r="J152" s="184">
        <f>SUMPRODUCT(GT_Cost_DataSheet_PY2!$AB$2:$AB$71, --(GT_Cost_DataSheet_PY2!$Q$2:$Q$71=E152), (F152="OPS")*GT_Cost_DataSheet_PY2!$R$2:$R$71)+SUMPRODUCT(GT_Cost_DataSheet_PY2!$AB$2:$AB$71, --(GT_Cost_DataSheet_PY2!$Q$2:$Q$71=E152), (F152="MAINT")*GT_Cost_DataSheet_PY2!$S$2:$S$71)+SUMPRODUCT(GT_Cost_DataSheet_PY2!$AB$2:$AB$71, --(GT_Cost_DataSheet_PY2!$Q$2:$Q$71=E152), (F152="DEV")*GT_Cost_DataSheet_PY2!$T$2:$T$71)+SUMPRODUCT(GT_Cost_DataSheet_PY2!$AB$2:$AB$71, --(GT_Cost_DataSheet_PY2!$Q$2:$Q$71=E152), (F152="COORD")*GT_Cost_DataSheet_PY2!$U$2:$U$71)+SUMPRODUCT(GT_Cost_DataSheet_PY2!$AB$2:$AB$71, --(GT_Cost_DataSheet_PY2!$Q$2:$Q$71=E152), (F152="SUP")*GT_Cost_DataSheet_PY2!$V$2:$V$71)</f>
        <v>115727.3175</v>
      </c>
    </row>
    <row r="153" spans="1:12">
      <c r="A153" s="174">
        <v>5.0999999999999996</v>
      </c>
      <c r="B153" s="117" t="s">
        <v>359</v>
      </c>
      <c r="C153" s="111" t="s">
        <v>408</v>
      </c>
      <c r="D153" s="111" t="s">
        <v>360</v>
      </c>
      <c r="E153" s="119" t="s">
        <v>193</v>
      </c>
      <c r="F153" s="121" t="s">
        <v>384</v>
      </c>
      <c r="G153" s="121" t="s">
        <v>412</v>
      </c>
      <c r="H153" s="121"/>
      <c r="I153" s="123">
        <f>SUMPRODUCT(GT_Cost_DataSheet_PY2!$X$2:$X$71, --(GT_Cost_DataSheet_PY2!$Q$2:$Q$71=E153), (F153="OPS")*GT_Cost_DataSheet_PY2!$R$2:$R$71)+
SUMPRODUCT(GT_Cost_DataSheet_PY2!$X$2:$X$71, --(GT_Cost_DataSheet_PY2!$Q$2:$Q$71=E153), (F153="MAINT")*GT_Cost_DataSheet_PY2!$S$2:$S$71)+
SUMPRODUCT(GT_Cost_DataSheet_PY2!$X$2:$X$71, --(GT_Cost_DataSheet_PY2!$Q$2:$Q$71=E153), (F153="DEV")*GT_Cost_DataSheet_PY2!$T$2:$T$71)+
SUMPRODUCT(GT_Cost_DataSheet_PY2!$X$2:$X$71, --(GT_Cost_DataSheet_PY2!$Q$2:$Q$71=E153), (F153="COORD")*GT_Cost_DataSheet_PY2!$U$2:$U$71)+
SUMPRODUCT(GT_Cost_DataSheet_PY2!$X$2:$X$71, --(GT_Cost_DataSheet_PY2!$Q$2:$Q$71=E153), (F153="SUP")*GT_Cost_DataSheet_PY2!$V$2:$V$71)</f>
        <v>18.074074074074076</v>
      </c>
      <c r="J153" s="184">
        <f>SUMPRODUCT(GT_Cost_DataSheet_PY2!$AB$2:$AB$71, --(GT_Cost_DataSheet_PY2!$Q$2:$Q$71=E153), (F153="OPS")*GT_Cost_DataSheet_PY2!$R$2:$R$71)+SUMPRODUCT(GT_Cost_DataSheet_PY2!$AB$2:$AB$71, --(GT_Cost_DataSheet_PY2!$Q$2:$Q$71=E153), (F153="MAINT")*GT_Cost_DataSheet_PY2!$S$2:$S$71)+SUMPRODUCT(GT_Cost_DataSheet_PY2!$AB$2:$AB$71, --(GT_Cost_DataSheet_PY2!$Q$2:$Q$71=E153), (F153="DEV")*GT_Cost_DataSheet_PY2!$T$2:$T$71)+SUMPRODUCT(GT_Cost_DataSheet_PY2!$AB$2:$AB$71, --(GT_Cost_DataSheet_PY2!$Q$2:$Q$71=E153), (F153="COORD")*GT_Cost_DataSheet_PY2!$U$2:$U$71)+SUMPRODUCT(GT_Cost_DataSheet_PY2!$AB$2:$AB$71, --(GT_Cost_DataSheet_PY2!$Q$2:$Q$71=E153), (F153="SUP")*GT_Cost_DataSheet_PY2!$V$2:$V$71)</f>
        <v>374123.04904565291</v>
      </c>
      <c r="K153" s="111"/>
      <c r="L153" s="111"/>
    </row>
    <row r="154" spans="1:12" ht="15" thickBot="1">
      <c r="A154" s="174">
        <v>5.0999999999999996</v>
      </c>
      <c r="B154" s="117" t="s">
        <v>359</v>
      </c>
      <c r="C154" s="111" t="s">
        <v>408</v>
      </c>
      <c r="D154" s="111" t="s">
        <v>150</v>
      </c>
      <c r="E154" s="119" t="s">
        <v>208</v>
      </c>
      <c r="F154" s="121" t="s">
        <v>304</v>
      </c>
      <c r="G154" s="121" t="s">
        <v>493</v>
      </c>
      <c r="H154" s="121"/>
      <c r="I154" s="123">
        <f>SUMPRODUCT(GT_Cost_DataSheet_PY2!$X$2:$X$71, --(GT_Cost_DataSheet_PY2!$Q$2:$Q$71=E154), (F154="OPS")*GT_Cost_DataSheet_PY2!$R$2:$R$71)+
SUMPRODUCT(GT_Cost_DataSheet_PY2!$X$2:$X$71, --(GT_Cost_DataSheet_PY2!$Q$2:$Q$71=E154), (F154="MAINT")*GT_Cost_DataSheet_PY2!$S$2:$S$71)+
SUMPRODUCT(GT_Cost_DataSheet_PY2!$X$2:$X$71, --(GT_Cost_DataSheet_PY2!$Q$2:$Q$71=E154), (F154="DEV")*GT_Cost_DataSheet_PY2!$T$2:$T$71)+
SUMPRODUCT(GT_Cost_DataSheet_PY2!$X$2:$X$71, --(GT_Cost_DataSheet_PY2!$Q$2:$Q$71=E154), (F154="COORD")*GT_Cost_DataSheet_PY2!$U$2:$U$71)+
SUMPRODUCT(GT_Cost_DataSheet_PY2!$X$2:$X$71, --(GT_Cost_DataSheet_PY2!$Q$2:$Q$71=E154), (F154="SUP")*GT_Cost_DataSheet_PY2!$V$2:$V$71)</f>
        <v>20.286548242811492</v>
      </c>
      <c r="J154" s="184">
        <f>SUMPRODUCT(GT_Cost_DataSheet_PY2!$AB$2:$AB$71, --(GT_Cost_DataSheet_PY2!$Q$2:$Q$71=E154), (F154="OPS")*GT_Cost_DataSheet_PY2!$R$2:$R$71)+SUMPRODUCT(GT_Cost_DataSheet_PY2!$AB$2:$AB$71, --(GT_Cost_DataSheet_PY2!$Q$2:$Q$71=E154), (F154="MAINT")*GT_Cost_DataSheet_PY2!$S$2:$S$71)+SUMPRODUCT(GT_Cost_DataSheet_PY2!$AB$2:$AB$71, --(GT_Cost_DataSheet_PY2!$Q$2:$Q$71=E154), (F154="DEV")*GT_Cost_DataSheet_PY2!$T$2:$T$71)+SUMPRODUCT(GT_Cost_DataSheet_PY2!$AB$2:$AB$71, --(GT_Cost_DataSheet_PY2!$Q$2:$Q$71=E154), (F154="COORD")*GT_Cost_DataSheet_PY2!$U$2:$U$71)+SUMPRODUCT(GT_Cost_DataSheet_PY2!$AB$2:$AB$71, --(GT_Cost_DataSheet_PY2!$Q$2:$Q$71=E154), (F154="SUP")*GT_Cost_DataSheet_PY2!$V$2:$V$71)</f>
        <v>138105.61870574302</v>
      </c>
      <c r="K154" s="111"/>
      <c r="L154" s="111"/>
    </row>
    <row r="155" spans="1:12" ht="19" thickBot="1">
      <c r="A155" s="175"/>
      <c r="B155" s="144"/>
      <c r="C155" s="144"/>
      <c r="D155" s="144"/>
      <c r="E155" s="145"/>
      <c r="F155" s="146"/>
      <c r="G155" s="146"/>
      <c r="H155" s="182"/>
      <c r="I155" s="147">
        <f>SUM(I2:I154)</f>
        <v>489.19149689763378</v>
      </c>
      <c r="J155" s="189">
        <f>SUM(J2:J154)</f>
        <v>4117865.9936979036</v>
      </c>
    </row>
    <row r="156" spans="1:12" ht="15">
      <c r="I156" s="125">
        <f>SUM(GT_Cost_DataSheet_PY2!X72)</f>
        <v>582.71307518731601</v>
      </c>
      <c r="J156" s="126">
        <f>SUM(GT_Cost_DataSheet_PY2!AB72)</f>
        <v>4753163.5895989183</v>
      </c>
    </row>
    <row r="1048571" spans="1:1">
      <c r="A1048571" s="119">
        <v>2.1</v>
      </c>
    </row>
  </sheetData>
  <autoFilter ref="A1:L1">
    <sortState ref="A2:L156">
      <sortCondition ref="A1:A156"/>
    </sortState>
  </autoFilter>
  <phoneticPr fontId="39" type="noConversion"/>
  <dataValidations count="3">
    <dataValidation type="list" allowBlank="1" showErrorMessage="1" promptTitle="Service Type" sqref="F66:F72 F63:F64 F2:F61 F74:F150 F151:F152">
      <formula1>"OPS, MAINT, DEV, COORD, SUP"</formula1>
    </dataValidation>
    <dataValidation type="list" allowBlank="1" showErrorMessage="1" promptTitle="Service Type" sqref="G2:G150 G151:G154">
      <formula1>"CRI, DEG, NGR, NON"</formula1>
    </dataValidation>
    <dataValidation type="list" allowBlank="1" showErrorMessage="1" promptTitle="Service Type" sqref="H2:H150 H151:H154">
      <formula1>"MEM, PRJ, INK, DIR, OTH"</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AK206"/>
  <sheetViews>
    <sheetView zoomScale="125" zoomScaleNormal="125" zoomScalePageLayoutView="125" workbookViewId="0">
      <pane ySplit="1" topLeftCell="A2" activePane="bottomLeft" state="frozen"/>
      <selection activeCell="G1" sqref="G1"/>
      <selection pane="bottomLeft"/>
    </sheetView>
  </sheetViews>
  <sheetFormatPr baseColWidth="10" defaultColWidth="8.83203125" defaultRowHeight="14" x14ac:dyDescent="0"/>
  <cols>
    <col min="1" max="1" width="29.6640625" customWidth="1"/>
    <col min="2" max="2" width="21.33203125" customWidth="1"/>
    <col min="3" max="3" width="15.6640625" style="11" customWidth="1"/>
    <col min="4" max="4" width="11.1640625" customWidth="1"/>
    <col min="5" max="5" width="17.83203125" customWidth="1"/>
    <col min="6" max="6" width="19.1640625" bestFit="1" customWidth="1"/>
    <col min="7" max="7" width="13.33203125" bestFit="1" customWidth="1"/>
    <col min="8" max="8" width="12.83203125" bestFit="1" customWidth="1"/>
    <col min="9" max="9" width="24.6640625" customWidth="1"/>
    <col min="10" max="10" width="37.6640625" customWidth="1"/>
    <col min="11" max="11" width="19.1640625" customWidth="1"/>
    <col min="12" max="12" width="17.33203125" customWidth="1"/>
    <col min="13" max="14" width="13.33203125" customWidth="1"/>
    <col min="15" max="16" width="13.33203125" style="152" customWidth="1"/>
    <col min="17" max="21" width="13.6640625" style="152" customWidth="1"/>
    <col min="22" max="22" width="15.5" style="152" customWidth="1"/>
    <col min="23" max="23" width="27.5" bestFit="1" customWidth="1"/>
    <col min="24" max="24" width="15.5" customWidth="1"/>
    <col min="25" max="25" width="17.6640625" customWidth="1"/>
    <col min="26" max="26" width="18.6640625" customWidth="1"/>
    <col min="27" max="27" width="18.33203125" bestFit="1" customWidth="1"/>
    <col min="28" max="28" width="18.1640625" bestFit="1" customWidth="1"/>
    <col min="29" max="29" width="16.5" customWidth="1"/>
    <col min="30" max="30" width="16.6640625" style="9" customWidth="1"/>
    <col min="31" max="31" width="17.1640625" style="9" bestFit="1" customWidth="1"/>
    <col min="32" max="32" width="18.5" style="9" customWidth="1"/>
    <col min="33" max="33" width="15.5" customWidth="1"/>
    <col min="34" max="34" width="14.83203125" customWidth="1"/>
    <col min="35" max="35" width="12" customWidth="1"/>
    <col min="36" max="36" width="13.5" customWidth="1"/>
  </cols>
  <sheetData>
    <row r="1" spans="1:37" ht="60" customHeight="1">
      <c r="A1" s="1" t="s">
        <v>0</v>
      </c>
      <c r="B1" s="1" t="s">
        <v>1</v>
      </c>
      <c r="C1" s="1" t="s">
        <v>2</v>
      </c>
      <c r="D1" s="18" t="s">
        <v>3</v>
      </c>
      <c r="E1" s="18" t="s">
        <v>4</v>
      </c>
      <c r="F1" s="18" t="s">
        <v>5</v>
      </c>
      <c r="G1" s="18" t="s">
        <v>6</v>
      </c>
      <c r="H1" s="1" t="s">
        <v>7</v>
      </c>
      <c r="I1" s="1" t="s">
        <v>8</v>
      </c>
      <c r="J1" s="1" t="s">
        <v>9</v>
      </c>
      <c r="K1" s="1" t="s">
        <v>222</v>
      </c>
      <c r="L1" s="1" t="s">
        <v>235</v>
      </c>
      <c r="M1" s="1" t="s">
        <v>234</v>
      </c>
      <c r="N1" s="1" t="s">
        <v>245</v>
      </c>
      <c r="O1" s="149" t="s">
        <v>298</v>
      </c>
      <c r="P1" s="149" t="s">
        <v>299</v>
      </c>
      <c r="Q1" s="149" t="s">
        <v>300</v>
      </c>
      <c r="R1" s="149" t="s">
        <v>384</v>
      </c>
      <c r="S1" s="149" t="s">
        <v>463</v>
      </c>
      <c r="T1" s="149" t="s">
        <v>304</v>
      </c>
      <c r="U1" s="149" t="s">
        <v>302</v>
      </c>
      <c r="V1" s="149" t="s">
        <v>449</v>
      </c>
      <c r="W1" s="18" t="s">
        <v>130</v>
      </c>
      <c r="X1" s="18" t="s">
        <v>244</v>
      </c>
      <c r="Y1" s="18" t="s">
        <v>128</v>
      </c>
      <c r="Z1" s="18" t="s">
        <v>10</v>
      </c>
      <c r="AA1" s="18" t="s">
        <v>11</v>
      </c>
      <c r="AB1" s="18" t="s">
        <v>12</v>
      </c>
      <c r="AC1" s="2" t="s">
        <v>13</v>
      </c>
      <c r="AD1" s="43" t="s">
        <v>231</v>
      </c>
      <c r="AE1" s="43" t="s">
        <v>232</v>
      </c>
      <c r="AF1" s="43" t="s">
        <v>233</v>
      </c>
      <c r="AG1" s="18" t="s">
        <v>14</v>
      </c>
    </row>
    <row r="2" spans="1:37" s="24" customFormat="1" ht="15">
      <c r="A2" s="45" t="s">
        <v>46</v>
      </c>
      <c r="B2" s="46" t="s">
        <v>46</v>
      </c>
      <c r="C2" s="47" t="s">
        <v>42</v>
      </c>
      <c r="D2" s="3" t="s">
        <v>47</v>
      </c>
      <c r="E2" s="3" t="s">
        <v>80</v>
      </c>
      <c r="F2" s="4" t="s">
        <v>80</v>
      </c>
      <c r="G2" s="5">
        <v>0.25</v>
      </c>
      <c r="H2" s="7">
        <v>12</v>
      </c>
      <c r="I2" s="7" t="s">
        <v>77</v>
      </c>
      <c r="J2" s="4" t="s">
        <v>75</v>
      </c>
      <c r="K2" s="4" t="s">
        <v>162</v>
      </c>
      <c r="L2" s="4" t="s">
        <v>163</v>
      </c>
      <c r="M2" s="4" t="s">
        <v>164</v>
      </c>
      <c r="N2" s="4" t="s">
        <v>246</v>
      </c>
      <c r="O2" s="150" t="s">
        <v>377</v>
      </c>
      <c r="P2" s="150" t="s">
        <v>382</v>
      </c>
      <c r="Q2" s="150" t="s">
        <v>442</v>
      </c>
      <c r="R2" s="151">
        <v>0</v>
      </c>
      <c r="S2" s="151">
        <v>0</v>
      </c>
      <c r="T2" s="151">
        <v>0</v>
      </c>
      <c r="U2" s="151">
        <v>0.25</v>
      </c>
      <c r="V2" s="151">
        <v>0.75</v>
      </c>
      <c r="W2" s="4">
        <v>7819</v>
      </c>
      <c r="X2" s="86">
        <v>8.39135654261705</v>
      </c>
      <c r="Y2" s="48">
        <v>22715.699999999997</v>
      </c>
      <c r="Z2" s="48">
        <v>16064.028</v>
      </c>
      <c r="AA2" s="48">
        <v>4057.68</v>
      </c>
      <c r="AB2" s="48">
        <v>42837.407999999996</v>
      </c>
      <c r="AC2" s="48">
        <f t="shared" ref="AC2:AC33" si="0">AB2*G2</f>
        <v>10709.351999999999</v>
      </c>
      <c r="AD2" s="48">
        <f t="shared" ref="AD2:AD33" si="1">IF(G2=25%,(AB2*G2),0)</f>
        <v>10709.351999999999</v>
      </c>
      <c r="AE2" s="48">
        <f>IF(G2=25%,AB2-AC2-AD2,0)</f>
        <v>21418.703999999998</v>
      </c>
      <c r="AF2" s="49">
        <f>IF(G2=25%,0,(AB2-AC2-AD2))</f>
        <v>0</v>
      </c>
      <c r="AG2" s="50">
        <f t="shared" ref="AG2:AG33" si="2">SUM(AC2:AF2)</f>
        <v>42837.407999999996</v>
      </c>
      <c r="AH2" s="51">
        <f t="shared" ref="AH2:AH18" si="3">+AG2-AB2</f>
        <v>0</v>
      </c>
      <c r="AI2" s="51">
        <f t="shared" ref="AI2:AI18" si="4">+AB2/X2</f>
        <v>5104.9443296137315</v>
      </c>
    </row>
    <row r="3" spans="1:37" s="24" customFormat="1" ht="15">
      <c r="A3" s="45" t="s">
        <v>40</v>
      </c>
      <c r="B3" s="46" t="s">
        <v>66</v>
      </c>
      <c r="C3" s="47" t="s">
        <v>67</v>
      </c>
      <c r="D3" s="3" t="s">
        <v>68</v>
      </c>
      <c r="E3" s="3" t="s">
        <v>76</v>
      </c>
      <c r="F3" s="4" t="s">
        <v>76</v>
      </c>
      <c r="G3" s="5">
        <v>0.4</v>
      </c>
      <c r="H3" s="7">
        <v>12</v>
      </c>
      <c r="I3" s="7" t="s">
        <v>77</v>
      </c>
      <c r="J3" s="4" t="s">
        <v>71</v>
      </c>
      <c r="K3" s="4" t="s">
        <v>190</v>
      </c>
      <c r="L3" s="8" t="s">
        <v>190</v>
      </c>
      <c r="M3" s="8" t="s">
        <v>224</v>
      </c>
      <c r="N3" s="8" t="s">
        <v>246</v>
      </c>
      <c r="O3" s="150" t="s">
        <v>216</v>
      </c>
      <c r="P3" s="150" t="s">
        <v>301</v>
      </c>
      <c r="Q3" s="150" t="s">
        <v>190</v>
      </c>
      <c r="R3" s="151">
        <v>0</v>
      </c>
      <c r="S3" s="151">
        <v>0.7</v>
      </c>
      <c r="T3" s="151">
        <v>0.3</v>
      </c>
      <c r="U3" s="151">
        <v>0</v>
      </c>
      <c r="V3" s="151">
        <v>0</v>
      </c>
      <c r="W3" s="4">
        <v>7819</v>
      </c>
      <c r="X3" s="86">
        <v>2.2400960384153681</v>
      </c>
      <c r="Y3" s="48">
        <v>6304.94</v>
      </c>
      <c r="Z3" s="48">
        <v>3782.963999999999</v>
      </c>
      <c r="AA3" s="48"/>
      <c r="AB3" s="48">
        <v>10087.903999999999</v>
      </c>
      <c r="AC3" s="48">
        <f t="shared" si="0"/>
        <v>4035.1615999999995</v>
      </c>
      <c r="AD3" s="48">
        <f t="shared" si="1"/>
        <v>0</v>
      </c>
      <c r="AE3" s="48">
        <f>IF(G3=25%,AB3-AC3-AD3,0)+IF(G3=40%,AB3-AC3-AD3,0)</f>
        <v>6052.7423999999992</v>
      </c>
      <c r="AF3" s="49">
        <v>0</v>
      </c>
      <c r="AG3" s="50">
        <f t="shared" si="2"/>
        <v>10087.903999999999</v>
      </c>
      <c r="AH3" s="51">
        <f t="shared" si="3"/>
        <v>0</v>
      </c>
      <c r="AI3" s="51">
        <f t="shared" si="4"/>
        <v>4503.3354941050329</v>
      </c>
      <c r="AJ3" s="34"/>
      <c r="AK3" s="34"/>
    </row>
    <row r="4" spans="1:37" s="24" customFormat="1" ht="15">
      <c r="A4" s="45" t="s">
        <v>40</v>
      </c>
      <c r="B4" s="46" t="s">
        <v>66</v>
      </c>
      <c r="C4" s="47" t="s">
        <v>67</v>
      </c>
      <c r="D4" s="3" t="s">
        <v>68</v>
      </c>
      <c r="E4" s="3" t="s">
        <v>69</v>
      </c>
      <c r="F4" s="4" t="s">
        <v>69</v>
      </c>
      <c r="G4" s="5">
        <v>0.4</v>
      </c>
      <c r="H4" s="7">
        <v>12</v>
      </c>
      <c r="I4" s="7" t="s">
        <v>77</v>
      </c>
      <c r="J4" s="4" t="s">
        <v>71</v>
      </c>
      <c r="K4" s="4" t="s">
        <v>190</v>
      </c>
      <c r="L4" s="8" t="s">
        <v>190</v>
      </c>
      <c r="M4" s="8" t="s">
        <v>224</v>
      </c>
      <c r="N4" s="8" t="s">
        <v>246</v>
      </c>
      <c r="O4" s="150" t="s">
        <v>216</v>
      </c>
      <c r="P4" s="150" t="s">
        <v>301</v>
      </c>
      <c r="Q4" s="150" t="s">
        <v>190</v>
      </c>
      <c r="R4" s="151">
        <v>0</v>
      </c>
      <c r="S4" s="151">
        <v>0.7</v>
      </c>
      <c r="T4" s="151">
        <v>0.3</v>
      </c>
      <c r="U4" s="151">
        <v>0</v>
      </c>
      <c r="V4" s="151">
        <v>0</v>
      </c>
      <c r="W4" s="4">
        <v>7819</v>
      </c>
      <c r="X4" s="86">
        <v>0.73469387755102122</v>
      </c>
      <c r="Y4" s="48">
        <v>2095.08</v>
      </c>
      <c r="Z4" s="48">
        <v>1257.048</v>
      </c>
      <c r="AA4" s="48"/>
      <c r="AB4" s="48">
        <v>3352.1280000000002</v>
      </c>
      <c r="AC4" s="48">
        <f t="shared" si="0"/>
        <v>1340.8512000000001</v>
      </c>
      <c r="AD4" s="48">
        <f t="shared" si="1"/>
        <v>0</v>
      </c>
      <c r="AE4" s="48">
        <f>IF(G4=25%,AB4-AC4-AD4,0)+IF(G4=40%,AB4-AC4-AD4,0)</f>
        <v>2011.2768000000001</v>
      </c>
      <c r="AF4" s="49">
        <f t="shared" ref="AF4:AF9" si="5">IF(G4=25%,0,(AB4-AC4-AD4))</f>
        <v>2011.2768000000001</v>
      </c>
      <c r="AG4" s="50">
        <f t="shared" si="2"/>
        <v>5363.4048000000003</v>
      </c>
      <c r="AH4" s="51">
        <f t="shared" si="3"/>
        <v>2011.2768000000001</v>
      </c>
      <c r="AI4" s="51">
        <f t="shared" si="4"/>
        <v>4562.6186666666617</v>
      </c>
    </row>
    <row r="5" spans="1:37" s="24" customFormat="1" ht="15">
      <c r="A5" s="45" t="s">
        <v>40</v>
      </c>
      <c r="B5" s="46" t="s">
        <v>61</v>
      </c>
      <c r="C5" s="47" t="s">
        <v>42</v>
      </c>
      <c r="D5" s="3" t="s">
        <v>62</v>
      </c>
      <c r="E5" s="3" t="s">
        <v>63</v>
      </c>
      <c r="F5" s="4" t="s">
        <v>63</v>
      </c>
      <c r="G5" s="5">
        <v>0.25</v>
      </c>
      <c r="H5" s="7">
        <v>12</v>
      </c>
      <c r="I5" s="7" t="s">
        <v>77</v>
      </c>
      <c r="J5" s="4" t="s">
        <v>81</v>
      </c>
      <c r="K5" s="4" t="s">
        <v>190</v>
      </c>
      <c r="L5" s="4" t="s">
        <v>190</v>
      </c>
      <c r="M5" s="4" t="s">
        <v>191</v>
      </c>
      <c r="N5" s="4" t="s">
        <v>247</v>
      </c>
      <c r="O5" s="150" t="s">
        <v>216</v>
      </c>
      <c r="P5" s="150" t="s">
        <v>301</v>
      </c>
      <c r="Q5" s="150" t="s">
        <v>190</v>
      </c>
      <c r="R5" s="151">
        <v>1</v>
      </c>
      <c r="S5" s="151">
        <v>0</v>
      </c>
      <c r="T5" s="151">
        <v>0</v>
      </c>
      <c r="U5" s="151">
        <v>0</v>
      </c>
      <c r="V5" s="151">
        <v>0</v>
      </c>
      <c r="W5" s="4">
        <v>7819</v>
      </c>
      <c r="X5" s="86">
        <f>4.37214885954382*50%</f>
        <v>2.1860744297719101</v>
      </c>
      <c r="Y5" s="48">
        <f>12467.78*50%</f>
        <v>6233.89</v>
      </c>
      <c r="Z5" s="48">
        <f>8891.64*50%</f>
        <v>4445.82</v>
      </c>
      <c r="AA5" s="48">
        <f>2351.62*50%</f>
        <v>1175.81</v>
      </c>
      <c r="AB5" s="48">
        <f>23711.04*50%</f>
        <v>11855.52</v>
      </c>
      <c r="AC5" s="48">
        <f t="shared" si="0"/>
        <v>2963.88</v>
      </c>
      <c r="AD5" s="48">
        <f t="shared" si="1"/>
        <v>2963.88</v>
      </c>
      <c r="AE5" s="48">
        <f>IF(G5=25%,AB5-AC5-AD5,0)</f>
        <v>5927.7599999999993</v>
      </c>
      <c r="AF5" s="49">
        <f t="shared" si="5"/>
        <v>0</v>
      </c>
      <c r="AG5" s="50">
        <f t="shared" si="2"/>
        <v>11855.52</v>
      </c>
      <c r="AH5" s="51">
        <f t="shared" si="3"/>
        <v>0</v>
      </c>
      <c r="AI5" s="51">
        <f t="shared" si="4"/>
        <v>5423.200527182863</v>
      </c>
    </row>
    <row r="6" spans="1:37" s="24" customFormat="1" ht="15" customHeight="1">
      <c r="A6" s="45" t="s">
        <v>40</v>
      </c>
      <c r="B6" s="46" t="s">
        <v>55</v>
      </c>
      <c r="C6" s="47" t="s">
        <v>42</v>
      </c>
      <c r="D6" s="3" t="s">
        <v>43</v>
      </c>
      <c r="E6" s="3" t="s">
        <v>278</v>
      </c>
      <c r="F6" s="4" t="s">
        <v>78</v>
      </c>
      <c r="G6" s="5">
        <v>0.25</v>
      </c>
      <c r="H6" s="7">
        <v>12</v>
      </c>
      <c r="I6" s="7" t="s">
        <v>77</v>
      </c>
      <c r="J6" s="4" t="s">
        <v>79</v>
      </c>
      <c r="K6" s="4" t="s">
        <v>189</v>
      </c>
      <c r="L6" s="4" t="s">
        <v>190</v>
      </c>
      <c r="M6" s="4" t="s">
        <v>191</v>
      </c>
      <c r="N6" s="4" t="s">
        <v>247</v>
      </c>
      <c r="O6" s="150" t="s">
        <v>216</v>
      </c>
      <c r="P6" s="150" t="s">
        <v>301</v>
      </c>
      <c r="Q6" s="150" t="s">
        <v>190</v>
      </c>
      <c r="R6" s="151">
        <v>1</v>
      </c>
      <c r="S6" s="151">
        <v>0</v>
      </c>
      <c r="T6" s="151">
        <v>0</v>
      </c>
      <c r="U6" s="151">
        <v>0</v>
      </c>
      <c r="V6" s="151">
        <v>0</v>
      </c>
      <c r="W6" s="4">
        <v>7819</v>
      </c>
      <c r="X6" s="86">
        <v>2.1968787515006039</v>
      </c>
      <c r="Y6" s="48">
        <v>6396.7</v>
      </c>
      <c r="Z6" s="48">
        <v>4050.9059999999995</v>
      </c>
      <c r="AA6" s="48">
        <v>354.81</v>
      </c>
      <c r="AB6" s="48">
        <v>10802.415999999997</v>
      </c>
      <c r="AC6" s="48">
        <f t="shared" si="0"/>
        <v>2700.6039999999994</v>
      </c>
      <c r="AD6" s="48">
        <f t="shared" si="1"/>
        <v>2700.6039999999994</v>
      </c>
      <c r="AE6" s="48">
        <f>IF(G6=25%,AB6-AC6-AD6,0)</f>
        <v>5401.2079999999987</v>
      </c>
      <c r="AF6" s="49">
        <f t="shared" si="5"/>
        <v>0</v>
      </c>
      <c r="AG6" s="50">
        <f t="shared" si="2"/>
        <v>10802.415999999997</v>
      </c>
      <c r="AH6" s="51">
        <f t="shared" si="3"/>
        <v>0</v>
      </c>
      <c r="AI6" s="51">
        <f t="shared" si="4"/>
        <v>4917.1653158469853</v>
      </c>
      <c r="AK6" s="34"/>
    </row>
    <row r="7" spans="1:37" s="24" customFormat="1" ht="15" customHeight="1">
      <c r="A7" s="45" t="s">
        <v>40</v>
      </c>
      <c r="B7" s="46" t="s">
        <v>66</v>
      </c>
      <c r="C7" s="47" t="s">
        <v>67</v>
      </c>
      <c r="D7" s="3" t="s">
        <v>68</v>
      </c>
      <c r="E7" s="3" t="s">
        <v>69</v>
      </c>
      <c r="F7" s="4" t="s">
        <v>69</v>
      </c>
      <c r="G7" s="5">
        <v>0.4</v>
      </c>
      <c r="H7" s="7">
        <v>21</v>
      </c>
      <c r="I7" s="7" t="s">
        <v>108</v>
      </c>
      <c r="J7" s="4" t="s">
        <v>71</v>
      </c>
      <c r="K7" s="4" t="s">
        <v>190</v>
      </c>
      <c r="L7" s="8" t="s">
        <v>190</v>
      </c>
      <c r="M7" s="8" t="s">
        <v>224</v>
      </c>
      <c r="N7" s="8" t="s">
        <v>246</v>
      </c>
      <c r="O7" s="150" t="s">
        <v>216</v>
      </c>
      <c r="P7" s="150" t="s">
        <v>301</v>
      </c>
      <c r="Q7" s="150" t="s">
        <v>190</v>
      </c>
      <c r="R7" s="151">
        <v>0</v>
      </c>
      <c r="S7" s="151">
        <v>0.7</v>
      </c>
      <c r="T7" s="151">
        <v>0.3</v>
      </c>
      <c r="U7" s="151">
        <v>0</v>
      </c>
      <c r="V7" s="151">
        <v>0</v>
      </c>
      <c r="W7" s="4">
        <v>7371</v>
      </c>
      <c r="X7" s="86">
        <v>1.2380952380952381</v>
      </c>
      <c r="Y7" s="48">
        <v>4815.8100000000004</v>
      </c>
      <c r="Z7" s="48">
        <v>2889.4860000000003</v>
      </c>
      <c r="AA7" s="48"/>
      <c r="AB7" s="48">
        <v>7705.2960000000003</v>
      </c>
      <c r="AC7" s="48">
        <f t="shared" si="0"/>
        <v>3082.1184000000003</v>
      </c>
      <c r="AD7" s="48">
        <f t="shared" si="1"/>
        <v>0</v>
      </c>
      <c r="AE7" s="48">
        <f>IF(G7=25%,AB7-AC7-AD7,0)</f>
        <v>0</v>
      </c>
      <c r="AF7" s="49">
        <f t="shared" si="5"/>
        <v>4623.1776</v>
      </c>
      <c r="AG7" s="50">
        <f t="shared" si="2"/>
        <v>7705.2960000000003</v>
      </c>
      <c r="AH7" s="51">
        <f t="shared" si="3"/>
        <v>0</v>
      </c>
      <c r="AI7" s="51">
        <f t="shared" si="4"/>
        <v>6223.5083076923074</v>
      </c>
    </row>
    <row r="8" spans="1:37" s="24" customFormat="1" ht="15" customHeight="1">
      <c r="A8" s="45" t="s">
        <v>40</v>
      </c>
      <c r="B8" s="46" t="s">
        <v>66</v>
      </c>
      <c r="C8" s="47" t="s">
        <v>67</v>
      </c>
      <c r="D8" s="3" t="s">
        <v>68</v>
      </c>
      <c r="E8" s="3" t="s">
        <v>69</v>
      </c>
      <c r="F8" s="4" t="s">
        <v>69</v>
      </c>
      <c r="G8" s="5">
        <v>0.4</v>
      </c>
      <c r="H8" s="7">
        <v>10</v>
      </c>
      <c r="I8" s="7" t="s">
        <v>70</v>
      </c>
      <c r="J8" s="4" t="s">
        <v>71</v>
      </c>
      <c r="K8" s="4" t="s">
        <v>190</v>
      </c>
      <c r="L8" s="8" t="s">
        <v>190</v>
      </c>
      <c r="M8" s="8" t="s">
        <v>224</v>
      </c>
      <c r="N8" s="8" t="s">
        <v>246</v>
      </c>
      <c r="O8" s="150" t="s">
        <v>216</v>
      </c>
      <c r="P8" s="150" t="s">
        <v>301</v>
      </c>
      <c r="Q8" s="150" t="s">
        <v>190</v>
      </c>
      <c r="R8" s="151">
        <v>0</v>
      </c>
      <c r="S8" s="151">
        <v>0.7</v>
      </c>
      <c r="T8" s="151">
        <v>0.3</v>
      </c>
      <c r="U8" s="151">
        <v>0</v>
      </c>
      <c r="V8" s="151">
        <v>0</v>
      </c>
      <c r="W8" s="4">
        <v>8895</v>
      </c>
      <c r="X8" s="86">
        <v>6.4587378640776691</v>
      </c>
      <c r="Y8" s="48">
        <v>35116.33</v>
      </c>
      <c r="Z8" s="48">
        <v>21069.798000000003</v>
      </c>
      <c r="AA8" s="48"/>
      <c r="AB8" s="48">
        <v>56186.128000000004</v>
      </c>
      <c r="AC8" s="48">
        <f t="shared" si="0"/>
        <v>22474.451200000003</v>
      </c>
      <c r="AD8" s="48">
        <f t="shared" si="1"/>
        <v>0</v>
      </c>
      <c r="AE8" s="48">
        <f>IF(G8=25%,AB8-AC8-AD8,0)</f>
        <v>0</v>
      </c>
      <c r="AF8" s="49">
        <f t="shared" si="5"/>
        <v>33711.676800000001</v>
      </c>
      <c r="AG8" s="50">
        <f t="shared" si="2"/>
        <v>56186.128000000004</v>
      </c>
      <c r="AH8" s="51">
        <f t="shared" si="3"/>
        <v>0</v>
      </c>
      <c r="AI8" s="51">
        <f t="shared" si="4"/>
        <v>8699.2426666666688</v>
      </c>
    </row>
    <row r="9" spans="1:37" s="24" customFormat="1" ht="15" customHeight="1">
      <c r="A9" s="45" t="s">
        <v>40</v>
      </c>
      <c r="B9" s="46" t="s">
        <v>66</v>
      </c>
      <c r="C9" s="47" t="s">
        <v>67</v>
      </c>
      <c r="D9" s="3" t="s">
        <v>68</v>
      </c>
      <c r="E9" s="3" t="s">
        <v>69</v>
      </c>
      <c r="F9" s="4" t="s">
        <v>69</v>
      </c>
      <c r="G9" s="5">
        <v>0.4</v>
      </c>
      <c r="H9" s="7">
        <v>34</v>
      </c>
      <c r="I9" s="7" t="s">
        <v>120</v>
      </c>
      <c r="J9" s="4" t="s">
        <v>71</v>
      </c>
      <c r="K9" s="4" t="s">
        <v>190</v>
      </c>
      <c r="L9" s="8" t="s">
        <v>190</v>
      </c>
      <c r="M9" s="8" t="s">
        <v>224</v>
      </c>
      <c r="N9" s="8" t="s">
        <v>246</v>
      </c>
      <c r="O9" s="150" t="s">
        <v>216</v>
      </c>
      <c r="P9" s="150" t="s">
        <v>301</v>
      </c>
      <c r="Q9" s="150" t="s">
        <v>190</v>
      </c>
      <c r="R9" s="151">
        <v>0</v>
      </c>
      <c r="S9" s="151">
        <v>0.7</v>
      </c>
      <c r="T9" s="151">
        <v>0.3</v>
      </c>
      <c r="U9" s="151">
        <v>0</v>
      </c>
      <c r="V9" s="151">
        <v>0</v>
      </c>
      <c r="W9" s="4">
        <v>10270</v>
      </c>
      <c r="X9" s="86">
        <v>6.161785040854812</v>
      </c>
      <c r="Y9" s="48">
        <v>17297.86</v>
      </c>
      <c r="Z9" s="48">
        <v>18162.753000000001</v>
      </c>
      <c r="AA9" s="48"/>
      <c r="AB9" s="48">
        <v>35460.612999999998</v>
      </c>
      <c r="AC9" s="48">
        <f t="shared" si="0"/>
        <v>14184.245199999999</v>
      </c>
      <c r="AD9" s="48">
        <f t="shared" si="1"/>
        <v>0</v>
      </c>
      <c r="AE9" s="48">
        <f>IF(G9=25%,AB9-AC9-AD9,0)</f>
        <v>0</v>
      </c>
      <c r="AF9" s="49">
        <f t="shared" si="5"/>
        <v>21276.3678</v>
      </c>
      <c r="AG9" s="50">
        <f t="shared" si="2"/>
        <v>35460.612999999998</v>
      </c>
      <c r="AH9" s="51">
        <f t="shared" si="3"/>
        <v>0</v>
      </c>
      <c r="AI9" s="51">
        <f t="shared" si="4"/>
        <v>5754.9253608951958</v>
      </c>
      <c r="AJ9" s="83"/>
    </row>
    <row r="10" spans="1:37" s="24" customFormat="1" ht="15">
      <c r="A10" s="45" t="s">
        <v>40</v>
      </c>
      <c r="B10" s="46" t="s">
        <v>66</v>
      </c>
      <c r="C10" s="47" t="s">
        <v>67</v>
      </c>
      <c r="D10" s="3" t="s">
        <v>68</v>
      </c>
      <c r="E10" s="3" t="s">
        <v>76</v>
      </c>
      <c r="F10" s="4" t="s">
        <v>76</v>
      </c>
      <c r="G10" s="5">
        <v>0.4</v>
      </c>
      <c r="H10" s="7">
        <v>34</v>
      </c>
      <c r="I10" s="7" t="s">
        <v>120</v>
      </c>
      <c r="J10" s="4" t="s">
        <v>124</v>
      </c>
      <c r="K10" s="4" t="s">
        <v>238</v>
      </c>
      <c r="L10" s="4" t="s">
        <v>238</v>
      </c>
      <c r="M10" s="8" t="s">
        <v>224</v>
      </c>
      <c r="N10" s="8" t="s">
        <v>246</v>
      </c>
      <c r="O10" s="150" t="s">
        <v>216</v>
      </c>
      <c r="P10" s="150" t="s">
        <v>301</v>
      </c>
      <c r="Q10" s="150" t="s">
        <v>238</v>
      </c>
      <c r="R10" s="151">
        <v>0</v>
      </c>
      <c r="S10" s="151">
        <v>0.25</v>
      </c>
      <c r="T10" s="151">
        <v>0.25</v>
      </c>
      <c r="U10" s="151">
        <v>0</v>
      </c>
      <c r="V10" s="151">
        <v>0</v>
      </c>
      <c r="W10" s="4">
        <v>10270</v>
      </c>
      <c r="X10" s="86">
        <v>0.97817724701445552</v>
      </c>
      <c r="Y10" s="48">
        <v>30573.989999999998</v>
      </c>
      <c r="Z10" s="52">
        <v>32102.6895</v>
      </c>
      <c r="AA10" s="48"/>
      <c r="AB10" s="48">
        <v>62676.679499999998</v>
      </c>
      <c r="AC10" s="48">
        <f t="shared" si="0"/>
        <v>25070.6718</v>
      </c>
      <c r="AD10" s="48">
        <f t="shared" si="1"/>
        <v>0</v>
      </c>
      <c r="AE10" s="48">
        <f>IF(G10=25%,AB10-AC10-AD10,0)+IF(G10=40%,AB10-AC10-AD10,0)</f>
        <v>37606.007700000002</v>
      </c>
      <c r="AF10" s="49">
        <v>0</v>
      </c>
      <c r="AG10" s="50">
        <f t="shared" si="2"/>
        <v>62676.679499999998</v>
      </c>
      <c r="AH10" s="51">
        <f t="shared" si="3"/>
        <v>0</v>
      </c>
      <c r="AI10" s="51">
        <f t="shared" si="4"/>
        <v>64074.971781748834</v>
      </c>
    </row>
    <row r="11" spans="1:37" s="24" customFormat="1" ht="15">
      <c r="A11" s="45" t="s">
        <v>40</v>
      </c>
      <c r="B11" s="46" t="s">
        <v>55</v>
      </c>
      <c r="C11" s="47" t="s">
        <v>42</v>
      </c>
      <c r="D11" s="3" t="s">
        <v>43</v>
      </c>
      <c r="E11" s="3" t="s">
        <v>278</v>
      </c>
      <c r="F11" s="4" t="s">
        <v>78</v>
      </c>
      <c r="G11" s="5">
        <v>0.25</v>
      </c>
      <c r="H11" s="7">
        <v>34</v>
      </c>
      <c r="I11" s="7" t="s">
        <v>120</v>
      </c>
      <c r="J11" s="4" t="s">
        <v>79</v>
      </c>
      <c r="K11" s="4" t="s">
        <v>242</v>
      </c>
      <c r="L11" s="4" t="s">
        <v>238</v>
      </c>
      <c r="M11" s="4" t="s">
        <v>191</v>
      </c>
      <c r="N11" s="4" t="s">
        <v>247</v>
      </c>
      <c r="O11" s="150" t="s">
        <v>216</v>
      </c>
      <c r="P11" s="150" t="s">
        <v>301</v>
      </c>
      <c r="Q11" s="150" t="s">
        <v>238</v>
      </c>
      <c r="R11" s="151">
        <v>1</v>
      </c>
      <c r="S11" s="151">
        <v>0</v>
      </c>
      <c r="T11" s="151">
        <v>0</v>
      </c>
      <c r="U11" s="151">
        <v>0</v>
      </c>
      <c r="V11" s="151">
        <v>0</v>
      </c>
      <c r="W11" s="4">
        <v>10270</v>
      </c>
      <c r="X11" s="86">
        <v>2.9599497171590174</v>
      </c>
      <c r="Y11" s="48">
        <v>12076.43</v>
      </c>
      <c r="Z11" s="52">
        <v>12680.2515</v>
      </c>
      <c r="AA11" s="48">
        <v>1573.35</v>
      </c>
      <c r="AB11" s="48">
        <v>26330.031499999997</v>
      </c>
      <c r="AC11" s="48">
        <f t="shared" si="0"/>
        <v>6582.5078749999993</v>
      </c>
      <c r="AD11" s="48">
        <f t="shared" si="1"/>
        <v>6582.5078749999993</v>
      </c>
      <c r="AE11" s="48">
        <f t="shared" ref="AE11:AE40" si="6">IF(G11=25%,AB11-AC11-AD11,0)</f>
        <v>13165.015749999999</v>
      </c>
      <c r="AF11" s="49">
        <f t="shared" ref="AF11:AF40" si="7">IF(G11=25%,0,(AB11-AC11-AD11))</f>
        <v>0</v>
      </c>
      <c r="AG11" s="50">
        <f t="shared" si="2"/>
        <v>26330.031499999997</v>
      </c>
      <c r="AH11" s="51">
        <f t="shared" si="3"/>
        <v>0</v>
      </c>
      <c r="AI11" s="51">
        <f t="shared" si="4"/>
        <v>8895.4320228357683</v>
      </c>
      <c r="AJ11" s="34"/>
    </row>
    <row r="12" spans="1:37" s="24" customFormat="1" ht="15" customHeight="1">
      <c r="A12" s="45" t="s">
        <v>15</v>
      </c>
      <c r="B12" s="46" t="s">
        <v>26</v>
      </c>
      <c r="C12" s="47" t="s">
        <v>17</v>
      </c>
      <c r="D12" s="3" t="s">
        <v>23</v>
      </c>
      <c r="E12" s="3" t="s">
        <v>260</v>
      </c>
      <c r="F12" s="4" t="s">
        <v>27</v>
      </c>
      <c r="G12" s="5">
        <v>1</v>
      </c>
      <c r="H12" s="7">
        <v>1</v>
      </c>
      <c r="I12" s="7" t="s">
        <v>20</v>
      </c>
      <c r="J12" s="4" t="s">
        <v>26</v>
      </c>
      <c r="K12" s="4" t="s">
        <v>196</v>
      </c>
      <c r="L12" s="4" t="s">
        <v>197</v>
      </c>
      <c r="M12" s="4" t="s">
        <v>176</v>
      </c>
      <c r="N12" s="4" t="s">
        <v>247</v>
      </c>
      <c r="O12" s="150" t="s">
        <v>302</v>
      </c>
      <c r="P12" s="150" t="s">
        <v>187</v>
      </c>
      <c r="Q12" s="150" t="s">
        <v>197</v>
      </c>
      <c r="R12" s="151">
        <v>0</v>
      </c>
      <c r="S12" s="151">
        <v>0</v>
      </c>
      <c r="T12" s="151">
        <v>0</v>
      </c>
      <c r="U12" s="151">
        <v>0.25</v>
      </c>
      <c r="V12" s="151">
        <v>0.75</v>
      </c>
      <c r="W12" s="4">
        <v>8880</v>
      </c>
      <c r="X12" s="86">
        <v>5.1899999999999995</v>
      </c>
      <c r="Y12" s="48">
        <v>47870.55</v>
      </c>
      <c r="Z12" s="48">
        <v>9574.11</v>
      </c>
      <c r="AA12" s="48">
        <v>7638.1917481343289</v>
      </c>
      <c r="AB12" s="48">
        <v>65082.85174813433</v>
      </c>
      <c r="AC12" s="48">
        <f t="shared" si="0"/>
        <v>65082.85174813433</v>
      </c>
      <c r="AD12" s="48">
        <f t="shared" si="1"/>
        <v>0</v>
      </c>
      <c r="AE12" s="48">
        <f t="shared" si="6"/>
        <v>0</v>
      </c>
      <c r="AF12" s="49">
        <f t="shared" si="7"/>
        <v>0</v>
      </c>
      <c r="AG12" s="50">
        <f t="shared" si="2"/>
        <v>65082.85174813433</v>
      </c>
      <c r="AH12" s="51">
        <f t="shared" si="3"/>
        <v>0</v>
      </c>
      <c r="AI12" s="51">
        <f t="shared" si="4"/>
        <v>12540.048506384264</v>
      </c>
      <c r="AK12" s="34"/>
    </row>
    <row r="13" spans="1:37" s="24" customFormat="1" ht="15" customHeight="1">
      <c r="A13" s="45" t="s">
        <v>101</v>
      </c>
      <c r="B13" s="46" t="s">
        <v>101</v>
      </c>
      <c r="C13" s="47" t="s">
        <v>42</v>
      </c>
      <c r="D13" s="3" t="s">
        <v>102</v>
      </c>
      <c r="E13" s="3" t="s">
        <v>289</v>
      </c>
      <c r="F13" s="4" t="s">
        <v>268</v>
      </c>
      <c r="G13" s="5">
        <v>0.25</v>
      </c>
      <c r="H13" s="7">
        <v>16</v>
      </c>
      <c r="I13" s="7" t="s">
        <v>103</v>
      </c>
      <c r="J13" s="4" t="s">
        <v>104</v>
      </c>
      <c r="K13" s="4" t="s">
        <v>192</v>
      </c>
      <c r="L13" s="4" t="s">
        <v>192</v>
      </c>
      <c r="M13" s="4" t="s">
        <v>248</v>
      </c>
      <c r="N13" s="4" t="s">
        <v>246</v>
      </c>
      <c r="O13" s="150" t="s">
        <v>377</v>
      </c>
      <c r="P13" s="150" t="s">
        <v>192</v>
      </c>
      <c r="Q13" s="150" t="s">
        <v>192</v>
      </c>
      <c r="R13" s="151">
        <v>0.2</v>
      </c>
      <c r="S13" s="151">
        <v>0</v>
      </c>
      <c r="T13" s="151">
        <v>0.8</v>
      </c>
      <c r="U13" s="151">
        <v>0</v>
      </c>
      <c r="V13" s="151">
        <v>0</v>
      </c>
      <c r="W13" s="4">
        <v>7740</v>
      </c>
      <c r="X13" s="86">
        <v>7.9315047619047556</v>
      </c>
      <c r="Y13" s="48">
        <v>32115.300000000003</v>
      </c>
      <c r="Z13" s="48">
        <v>25692.239999999998</v>
      </c>
      <c r="AA13" s="48">
        <v>8258.2999999999993</v>
      </c>
      <c r="AB13" s="48">
        <v>66065.84</v>
      </c>
      <c r="AC13" s="48">
        <f t="shared" si="0"/>
        <v>16516.46</v>
      </c>
      <c r="AD13" s="48">
        <f t="shared" si="1"/>
        <v>16516.46</v>
      </c>
      <c r="AE13" s="48">
        <f t="shared" si="6"/>
        <v>33032.92</v>
      </c>
      <c r="AF13" s="49">
        <f t="shared" si="7"/>
        <v>0</v>
      </c>
      <c r="AG13" s="50">
        <f t="shared" si="2"/>
        <v>66065.84</v>
      </c>
      <c r="AH13" s="51">
        <f t="shared" si="3"/>
        <v>0</v>
      </c>
      <c r="AI13" s="51">
        <f t="shared" si="4"/>
        <v>8329.5467862940859</v>
      </c>
      <c r="AK13" s="34"/>
    </row>
    <row r="14" spans="1:37" s="24" customFormat="1" ht="15.75" customHeight="1">
      <c r="A14" s="45" t="s">
        <v>28</v>
      </c>
      <c r="B14" s="46" t="s">
        <v>28</v>
      </c>
      <c r="C14" s="47" t="s">
        <v>29</v>
      </c>
      <c r="D14" s="3" t="s">
        <v>30</v>
      </c>
      <c r="E14" s="3" t="s">
        <v>285</v>
      </c>
      <c r="F14" s="4" t="s">
        <v>35</v>
      </c>
      <c r="G14" s="5">
        <v>0.75</v>
      </c>
      <c r="H14" s="7">
        <v>1</v>
      </c>
      <c r="I14" s="7" t="s">
        <v>20</v>
      </c>
      <c r="J14" s="4" t="s">
        <v>36</v>
      </c>
      <c r="K14" s="4" t="s">
        <v>174</v>
      </c>
      <c r="L14" s="4" t="s">
        <v>175</v>
      </c>
      <c r="M14" s="4" t="s">
        <v>176</v>
      </c>
      <c r="N14" s="4" t="s">
        <v>246</v>
      </c>
      <c r="O14" s="150" t="s">
        <v>365</v>
      </c>
      <c r="P14" s="150" t="s">
        <v>372</v>
      </c>
      <c r="Q14" s="150" t="s">
        <v>373</v>
      </c>
      <c r="R14" s="151">
        <v>0</v>
      </c>
      <c r="S14" s="151">
        <v>0</v>
      </c>
      <c r="T14" s="151">
        <v>0</v>
      </c>
      <c r="U14" s="151">
        <v>0.25</v>
      </c>
      <c r="V14" s="151">
        <v>0.75</v>
      </c>
      <c r="W14" s="4">
        <v>8880</v>
      </c>
      <c r="X14" s="86">
        <v>43.56</v>
      </c>
      <c r="Y14" s="48">
        <v>246415.90000000002</v>
      </c>
      <c r="Z14" s="48">
        <v>49283.180000000008</v>
      </c>
      <c r="AA14" s="48">
        <v>7925.870490895848</v>
      </c>
      <c r="AB14" s="48">
        <v>303624.95049089589</v>
      </c>
      <c r="AC14" s="48">
        <f t="shared" si="0"/>
        <v>227718.71286817192</v>
      </c>
      <c r="AD14" s="48">
        <f t="shared" si="1"/>
        <v>0</v>
      </c>
      <c r="AE14" s="48">
        <f t="shared" si="6"/>
        <v>0</v>
      </c>
      <c r="AF14" s="49">
        <f t="shared" si="7"/>
        <v>75906.237622723973</v>
      </c>
      <c r="AG14" s="50">
        <f t="shared" si="2"/>
        <v>303624.95049089589</v>
      </c>
      <c r="AH14" s="51">
        <f t="shared" si="3"/>
        <v>0</v>
      </c>
      <c r="AI14" s="51">
        <f t="shared" si="4"/>
        <v>6970.2697541527978</v>
      </c>
    </row>
    <row r="15" spans="1:37" s="24" customFormat="1" ht="15.75" customHeight="1">
      <c r="A15" s="45" t="s">
        <v>28</v>
      </c>
      <c r="B15" s="46" t="s">
        <v>28</v>
      </c>
      <c r="C15" s="47" t="s">
        <v>29</v>
      </c>
      <c r="D15" s="3" t="s">
        <v>30</v>
      </c>
      <c r="E15" s="3" t="s">
        <v>269</v>
      </c>
      <c r="F15" s="4" t="s">
        <v>72</v>
      </c>
      <c r="G15" s="5">
        <v>0.25</v>
      </c>
      <c r="H15" s="7">
        <v>12</v>
      </c>
      <c r="I15" s="7" t="s">
        <v>83</v>
      </c>
      <c r="J15" s="4" t="s">
        <v>145</v>
      </c>
      <c r="K15" s="4" t="s">
        <v>170</v>
      </c>
      <c r="L15" s="4" t="s">
        <v>170</v>
      </c>
      <c r="M15" s="4" t="s">
        <v>248</v>
      </c>
      <c r="N15" s="4" t="s">
        <v>246</v>
      </c>
      <c r="O15" s="150" t="s">
        <v>216</v>
      </c>
      <c r="P15" s="150" t="s">
        <v>301</v>
      </c>
      <c r="Q15" s="150" t="s">
        <v>376</v>
      </c>
      <c r="R15" s="151">
        <v>0.5</v>
      </c>
      <c r="S15" s="151">
        <v>0</v>
      </c>
      <c r="T15" s="151">
        <v>0.5</v>
      </c>
      <c r="U15" s="151">
        <v>0</v>
      </c>
      <c r="V15" s="151">
        <v>0</v>
      </c>
      <c r="W15" s="4">
        <v>7819</v>
      </c>
      <c r="X15" s="86">
        <v>1.3760000000000001</v>
      </c>
      <c r="Y15" s="48">
        <v>6132</v>
      </c>
      <c r="Z15" s="48">
        <v>4353.72</v>
      </c>
      <c r="AA15" s="48"/>
      <c r="AB15" s="48">
        <v>10485.720000000001</v>
      </c>
      <c r="AC15" s="48">
        <f t="shared" si="0"/>
        <v>2621.4300000000003</v>
      </c>
      <c r="AD15" s="48">
        <f t="shared" si="1"/>
        <v>2621.4300000000003</v>
      </c>
      <c r="AE15" s="48">
        <f t="shared" si="6"/>
        <v>5242.8600000000006</v>
      </c>
      <c r="AF15" s="49">
        <f t="shared" si="7"/>
        <v>0</v>
      </c>
      <c r="AG15" s="50">
        <f t="shared" si="2"/>
        <v>10485.720000000001</v>
      </c>
      <c r="AH15" s="51">
        <f t="shared" si="3"/>
        <v>0</v>
      </c>
      <c r="AI15" s="51">
        <f t="shared" si="4"/>
        <v>7620.4360465116279</v>
      </c>
    </row>
    <row r="16" spans="1:37" s="24" customFormat="1" ht="15.75" customHeight="1">
      <c r="A16" s="45" t="s">
        <v>40</v>
      </c>
      <c r="B16" s="46" t="s">
        <v>55</v>
      </c>
      <c r="C16" s="47" t="s">
        <v>42</v>
      </c>
      <c r="D16" s="3" t="s">
        <v>43</v>
      </c>
      <c r="E16" s="3" t="s">
        <v>276</v>
      </c>
      <c r="F16" s="4" t="s">
        <v>86</v>
      </c>
      <c r="G16" s="5">
        <v>0.25</v>
      </c>
      <c r="H16" s="7">
        <v>16</v>
      </c>
      <c r="I16" s="7" t="s">
        <v>96</v>
      </c>
      <c r="J16" s="4" t="s">
        <v>98</v>
      </c>
      <c r="K16" s="4" t="s">
        <v>217</v>
      </c>
      <c r="L16" s="4" t="s">
        <v>216</v>
      </c>
      <c r="M16" s="4" t="s">
        <v>164</v>
      </c>
      <c r="N16" s="4" t="s">
        <v>246</v>
      </c>
      <c r="O16" s="150" t="s">
        <v>216</v>
      </c>
      <c r="P16" s="150" t="s">
        <v>301</v>
      </c>
      <c r="Q16" s="150" t="s">
        <v>376</v>
      </c>
      <c r="R16" s="151">
        <v>1</v>
      </c>
      <c r="S16" s="151">
        <v>0</v>
      </c>
      <c r="T16" s="151">
        <v>0</v>
      </c>
      <c r="U16" s="151">
        <v>0</v>
      </c>
      <c r="V16" s="151">
        <v>0</v>
      </c>
      <c r="W16" s="4">
        <v>7740</v>
      </c>
      <c r="X16" s="86">
        <f>3.18293333333334*50%</f>
        <v>1.5914666666666699</v>
      </c>
      <c r="Y16" s="48">
        <f>17754.2*50%</f>
        <v>8877.1</v>
      </c>
      <c r="Z16" s="48">
        <f>14203.36*50%</f>
        <v>7101.68</v>
      </c>
      <c r="AA16" s="48">
        <f>550*50%</f>
        <v>275</v>
      </c>
      <c r="AB16" s="48">
        <f>32507.56*50%</f>
        <v>16253.78</v>
      </c>
      <c r="AC16" s="48">
        <f t="shared" si="0"/>
        <v>4063.4450000000002</v>
      </c>
      <c r="AD16" s="48">
        <f t="shared" si="1"/>
        <v>4063.4450000000002</v>
      </c>
      <c r="AE16" s="48">
        <f t="shared" si="6"/>
        <v>8126.8900000000012</v>
      </c>
      <c r="AF16" s="49">
        <f t="shared" si="7"/>
        <v>0</v>
      </c>
      <c r="AG16" s="50">
        <f t="shared" si="2"/>
        <v>16253.780000000002</v>
      </c>
      <c r="AH16" s="51">
        <f t="shared" si="3"/>
        <v>0</v>
      </c>
      <c r="AI16" s="51">
        <f t="shared" si="4"/>
        <v>10213.082272117943</v>
      </c>
      <c r="AJ16" s="34"/>
    </row>
    <row r="17" spans="1:37" s="24" customFormat="1" ht="15">
      <c r="A17" s="45" t="s">
        <v>101</v>
      </c>
      <c r="B17" s="46" t="s">
        <v>101</v>
      </c>
      <c r="C17" s="47" t="s">
        <v>42</v>
      </c>
      <c r="D17" s="3" t="s">
        <v>102</v>
      </c>
      <c r="E17" s="3" t="s">
        <v>289</v>
      </c>
      <c r="F17" s="4" t="s">
        <v>268</v>
      </c>
      <c r="G17" s="5">
        <v>0.25</v>
      </c>
      <c r="H17" s="7">
        <v>29</v>
      </c>
      <c r="I17" s="7" t="s">
        <v>119</v>
      </c>
      <c r="J17" s="4" t="s">
        <v>145</v>
      </c>
      <c r="K17" s="4" t="s">
        <v>170</v>
      </c>
      <c r="L17" s="4" t="s">
        <v>170</v>
      </c>
      <c r="M17" s="4" t="s">
        <v>248</v>
      </c>
      <c r="N17" s="4" t="s">
        <v>246</v>
      </c>
      <c r="O17" s="150" t="s">
        <v>216</v>
      </c>
      <c r="P17" s="150" t="s">
        <v>301</v>
      </c>
      <c r="Q17" s="150" t="s">
        <v>376</v>
      </c>
      <c r="R17" s="151">
        <v>0.5</v>
      </c>
      <c r="S17" s="151">
        <v>0</v>
      </c>
      <c r="T17" s="151">
        <v>0.5</v>
      </c>
      <c r="U17" s="151">
        <v>0</v>
      </c>
      <c r="V17" s="151">
        <v>0</v>
      </c>
      <c r="W17" s="4">
        <v>5480</v>
      </c>
      <c r="X17" s="86">
        <v>1.5632473253618611</v>
      </c>
      <c r="Y17" s="53">
        <f>20527.22*20%</f>
        <v>4105.4440000000004</v>
      </c>
      <c r="Z17" s="53">
        <f>4768.924*20%</f>
        <v>953.78480000000002</v>
      </c>
      <c r="AA17" s="53">
        <f>3317.4*20%</f>
        <v>663.48</v>
      </c>
      <c r="AB17" s="48">
        <f>28613.544*20%</f>
        <v>5722.7088000000003</v>
      </c>
      <c r="AC17" s="48">
        <f t="shared" si="0"/>
        <v>1430.6772000000001</v>
      </c>
      <c r="AD17" s="48">
        <f t="shared" si="1"/>
        <v>1430.6772000000001</v>
      </c>
      <c r="AE17" s="48">
        <f t="shared" si="6"/>
        <v>2861.3544000000002</v>
      </c>
      <c r="AF17" s="49">
        <f t="shared" si="7"/>
        <v>0</v>
      </c>
      <c r="AG17" s="50">
        <f t="shared" si="2"/>
        <v>5722.7088000000003</v>
      </c>
      <c r="AH17" s="51">
        <f t="shared" si="3"/>
        <v>0</v>
      </c>
      <c r="AI17" s="51">
        <f t="shared" si="4"/>
        <v>3660.7827227053185</v>
      </c>
    </row>
    <row r="18" spans="1:37" s="24" customFormat="1" ht="15">
      <c r="A18" s="45" t="s">
        <v>46</v>
      </c>
      <c r="B18" s="46" t="s">
        <v>46</v>
      </c>
      <c r="C18" s="47" t="s">
        <v>42</v>
      </c>
      <c r="D18" s="3" t="s">
        <v>47</v>
      </c>
      <c r="E18" s="3" t="s">
        <v>50</v>
      </c>
      <c r="F18" s="4" t="s">
        <v>50</v>
      </c>
      <c r="G18" s="5">
        <v>0.25</v>
      </c>
      <c r="H18" s="7">
        <v>9</v>
      </c>
      <c r="I18" s="7" t="s">
        <v>51</v>
      </c>
      <c r="J18" s="4" t="s">
        <v>52</v>
      </c>
      <c r="K18" s="4" t="s">
        <v>196</v>
      </c>
      <c r="L18" s="4" t="s">
        <v>197</v>
      </c>
      <c r="M18" s="4" t="s">
        <v>176</v>
      </c>
      <c r="N18" s="4" t="s">
        <v>247</v>
      </c>
      <c r="O18" s="150" t="s">
        <v>302</v>
      </c>
      <c r="P18" s="150" t="s">
        <v>187</v>
      </c>
      <c r="Q18" s="150" t="s">
        <v>393</v>
      </c>
      <c r="R18" s="151">
        <v>0</v>
      </c>
      <c r="S18" s="151">
        <v>0</v>
      </c>
      <c r="T18" s="151">
        <v>0</v>
      </c>
      <c r="U18" s="151">
        <v>0.25</v>
      </c>
      <c r="V18" s="151">
        <v>0.75</v>
      </c>
      <c r="W18" s="4">
        <v>6580</v>
      </c>
      <c r="X18" s="86">
        <v>13.546666666666669</v>
      </c>
      <c r="Y18" s="48">
        <v>57609.62</v>
      </c>
      <c r="Z18" s="48">
        <v>35522.645999999993</v>
      </c>
      <c r="AA18" s="48">
        <v>1594.79</v>
      </c>
      <c r="AB18" s="48">
        <v>94727.055999999997</v>
      </c>
      <c r="AC18" s="48">
        <f t="shared" si="0"/>
        <v>23681.763999999999</v>
      </c>
      <c r="AD18" s="48">
        <f t="shared" si="1"/>
        <v>23681.763999999999</v>
      </c>
      <c r="AE18" s="48">
        <f t="shared" si="6"/>
        <v>47363.528000000006</v>
      </c>
      <c r="AF18" s="49">
        <f t="shared" si="7"/>
        <v>0</v>
      </c>
      <c r="AG18" s="50">
        <f t="shared" si="2"/>
        <v>94727.056000000011</v>
      </c>
      <c r="AH18" s="51">
        <f t="shared" si="3"/>
        <v>0</v>
      </c>
      <c r="AI18" s="51">
        <f t="shared" si="4"/>
        <v>6992.6468503936994</v>
      </c>
    </row>
    <row r="19" spans="1:37" s="24" customFormat="1" ht="15" customHeight="1">
      <c r="A19" s="45" t="s">
        <v>101</v>
      </c>
      <c r="B19" s="46" t="s">
        <v>101</v>
      </c>
      <c r="C19" s="47" t="s">
        <v>42</v>
      </c>
      <c r="D19" s="3" t="s">
        <v>102</v>
      </c>
      <c r="E19" s="3" t="s">
        <v>289</v>
      </c>
      <c r="F19" s="4" t="s">
        <v>268</v>
      </c>
      <c r="G19" s="5">
        <v>0.25</v>
      </c>
      <c r="H19" s="7">
        <v>29</v>
      </c>
      <c r="I19" s="7" t="s">
        <v>119</v>
      </c>
      <c r="J19" s="4" t="s">
        <v>292</v>
      </c>
      <c r="K19" s="4" t="s">
        <v>291</v>
      </c>
      <c r="L19" s="4" t="s">
        <v>291</v>
      </c>
      <c r="M19" s="4" t="s">
        <v>248</v>
      </c>
      <c r="N19" s="4" t="s">
        <v>246</v>
      </c>
      <c r="O19" s="150" t="s">
        <v>369</v>
      </c>
      <c r="P19" s="150" t="s">
        <v>370</v>
      </c>
      <c r="Q19" s="150" t="s">
        <v>291</v>
      </c>
      <c r="R19" s="151">
        <v>0.1</v>
      </c>
      <c r="S19" s="151">
        <v>0.3</v>
      </c>
      <c r="T19" s="151">
        <v>0.6</v>
      </c>
      <c r="U19" s="151">
        <v>0</v>
      </c>
      <c r="V19" s="151">
        <v>0</v>
      </c>
      <c r="W19" s="4">
        <v>5480</v>
      </c>
      <c r="X19" s="86">
        <v>6.1548143486469495</v>
      </c>
      <c r="Y19" s="53">
        <f>20527.22*80%</f>
        <v>16421.776000000002</v>
      </c>
      <c r="Z19" s="53">
        <f>4768.924*80%</f>
        <v>3815.1392000000001</v>
      </c>
      <c r="AA19" s="53">
        <f>3317.4*80%</f>
        <v>2653.92</v>
      </c>
      <c r="AB19" s="48">
        <f>28613.544*80%</f>
        <v>22890.835200000001</v>
      </c>
      <c r="AC19" s="48">
        <f t="shared" si="0"/>
        <v>5722.7088000000003</v>
      </c>
      <c r="AD19" s="48">
        <f t="shared" si="1"/>
        <v>5722.7088000000003</v>
      </c>
      <c r="AE19" s="48">
        <f t="shared" si="6"/>
        <v>11445.417600000001</v>
      </c>
      <c r="AF19" s="49">
        <f t="shared" si="7"/>
        <v>0</v>
      </c>
      <c r="AG19" s="50">
        <f t="shared" si="2"/>
        <v>22890.835200000001</v>
      </c>
      <c r="AH19" s="51"/>
      <c r="AI19" s="51"/>
    </row>
    <row r="20" spans="1:37" s="24" customFormat="1" ht="15">
      <c r="A20" s="45" t="s">
        <v>40</v>
      </c>
      <c r="B20" s="46" t="s">
        <v>41</v>
      </c>
      <c r="C20" s="47" t="s">
        <v>42</v>
      </c>
      <c r="D20" s="3" t="s">
        <v>43</v>
      </c>
      <c r="E20" s="3" t="s">
        <v>276</v>
      </c>
      <c r="F20" s="4" t="s">
        <v>86</v>
      </c>
      <c r="G20" s="5">
        <v>0.25</v>
      </c>
      <c r="H20" s="7">
        <v>13</v>
      </c>
      <c r="I20" s="7" t="s">
        <v>87</v>
      </c>
      <c r="J20" s="4" t="s">
        <v>88</v>
      </c>
      <c r="K20" s="4" t="s">
        <v>180</v>
      </c>
      <c r="L20" s="4" t="s">
        <v>181</v>
      </c>
      <c r="M20" s="4" t="s">
        <v>173</v>
      </c>
      <c r="N20" s="4" t="s">
        <v>247</v>
      </c>
      <c r="O20" s="150" t="s">
        <v>302</v>
      </c>
      <c r="P20" s="150" t="s">
        <v>378</v>
      </c>
      <c r="Q20" s="150" t="s">
        <v>181</v>
      </c>
      <c r="R20" s="151">
        <v>0</v>
      </c>
      <c r="S20" s="151">
        <v>0</v>
      </c>
      <c r="T20" s="151">
        <v>0</v>
      </c>
      <c r="U20" s="151">
        <v>0.25</v>
      </c>
      <c r="V20" s="151">
        <v>0.75</v>
      </c>
      <c r="W20" s="4">
        <v>10317</v>
      </c>
      <c r="X20" s="86">
        <v>1.4957714285714279</v>
      </c>
      <c r="Y20" s="48">
        <v>6969.7999999999993</v>
      </c>
      <c r="Z20" s="48">
        <v>5481.59</v>
      </c>
      <c r="AA20" s="48">
        <v>2361.31</v>
      </c>
      <c r="AB20" s="48">
        <v>14812.7</v>
      </c>
      <c r="AC20" s="48">
        <f t="shared" si="0"/>
        <v>3703.1750000000002</v>
      </c>
      <c r="AD20" s="48">
        <f t="shared" si="1"/>
        <v>3703.1750000000002</v>
      </c>
      <c r="AE20" s="48">
        <f t="shared" si="6"/>
        <v>7406.3500000000013</v>
      </c>
      <c r="AF20" s="49">
        <f t="shared" si="7"/>
        <v>0</v>
      </c>
      <c r="AG20" s="50">
        <f t="shared" si="2"/>
        <v>14812.7</v>
      </c>
      <c r="AH20" s="51">
        <f t="shared" ref="AH20:AH51" si="8">+AG20-AB20</f>
        <v>0</v>
      </c>
      <c r="AI20" s="51">
        <f t="shared" ref="AI20:AI51" si="9">+AB20/X20</f>
        <v>9903.0505042787336</v>
      </c>
    </row>
    <row r="21" spans="1:37" s="24" customFormat="1" ht="15" customHeight="1">
      <c r="A21" s="45" t="s">
        <v>28</v>
      </c>
      <c r="B21" s="46" t="s">
        <v>28</v>
      </c>
      <c r="C21" s="47" t="s">
        <v>29</v>
      </c>
      <c r="D21" s="3" t="s">
        <v>30</v>
      </c>
      <c r="E21" s="3" t="s">
        <v>270</v>
      </c>
      <c r="F21" s="4" t="s">
        <v>35</v>
      </c>
      <c r="G21" s="5">
        <v>0.25</v>
      </c>
      <c r="H21" s="7">
        <v>34</v>
      </c>
      <c r="I21" s="7" t="s">
        <v>120</v>
      </c>
      <c r="J21" s="4" t="s">
        <v>36</v>
      </c>
      <c r="K21" s="4" t="s">
        <v>174</v>
      </c>
      <c r="L21" s="4" t="s">
        <v>175</v>
      </c>
      <c r="M21" s="4" t="s">
        <v>173</v>
      </c>
      <c r="N21" s="4" t="s">
        <v>247</v>
      </c>
      <c r="O21" s="150" t="s">
        <v>365</v>
      </c>
      <c r="P21" s="150" t="s">
        <v>374</v>
      </c>
      <c r="Q21" s="150" t="s">
        <v>425</v>
      </c>
      <c r="R21" s="151">
        <v>0</v>
      </c>
      <c r="S21" s="151">
        <v>0</v>
      </c>
      <c r="T21" s="151">
        <v>0</v>
      </c>
      <c r="U21" s="151">
        <v>0.25</v>
      </c>
      <c r="V21" s="151">
        <v>0.75</v>
      </c>
      <c r="W21" s="4">
        <v>10270</v>
      </c>
      <c r="X21" s="86">
        <v>4.8445003142677567</v>
      </c>
      <c r="Y21" s="48">
        <v>31739.48</v>
      </c>
      <c r="Z21" s="52">
        <v>33326.453999999998</v>
      </c>
      <c r="AA21" s="48">
        <v>9482.33</v>
      </c>
      <c r="AB21" s="48">
        <v>74548.263999999996</v>
      </c>
      <c r="AC21" s="48">
        <f t="shared" si="0"/>
        <v>18637.065999999999</v>
      </c>
      <c r="AD21" s="48">
        <f t="shared" si="1"/>
        <v>18637.065999999999</v>
      </c>
      <c r="AE21" s="48">
        <f t="shared" si="6"/>
        <v>37274.131999999998</v>
      </c>
      <c r="AF21" s="49">
        <f t="shared" si="7"/>
        <v>0</v>
      </c>
      <c r="AG21" s="50">
        <f t="shared" si="2"/>
        <v>74548.263999999996</v>
      </c>
      <c r="AH21" s="51">
        <f t="shared" si="8"/>
        <v>0</v>
      </c>
      <c r="AI21" s="51">
        <f t="shared" si="9"/>
        <v>15388.225650526751</v>
      </c>
    </row>
    <row r="22" spans="1:37" s="24" customFormat="1" ht="15" customHeight="1">
      <c r="A22" s="45" t="s">
        <v>28</v>
      </c>
      <c r="B22" s="46" t="s">
        <v>28</v>
      </c>
      <c r="C22" s="47" t="s">
        <v>29</v>
      </c>
      <c r="D22" s="3" t="s">
        <v>30</v>
      </c>
      <c r="E22" s="3" t="s">
        <v>285</v>
      </c>
      <c r="F22" s="4" t="s">
        <v>35</v>
      </c>
      <c r="G22" s="5">
        <v>0.25</v>
      </c>
      <c r="H22" s="7">
        <v>26</v>
      </c>
      <c r="I22" s="7" t="s">
        <v>113</v>
      </c>
      <c r="J22" s="4" t="s">
        <v>36</v>
      </c>
      <c r="K22" s="4" t="s">
        <v>174</v>
      </c>
      <c r="L22" s="4" t="s">
        <v>175</v>
      </c>
      <c r="M22" s="4" t="s">
        <v>173</v>
      </c>
      <c r="N22" s="4" t="s">
        <v>247</v>
      </c>
      <c r="O22" s="150" t="s">
        <v>365</v>
      </c>
      <c r="P22" s="150" t="s">
        <v>374</v>
      </c>
      <c r="Q22" s="150" t="s">
        <v>419</v>
      </c>
      <c r="R22" s="151">
        <v>0</v>
      </c>
      <c r="S22" s="151">
        <v>0</v>
      </c>
      <c r="T22" s="151">
        <v>0</v>
      </c>
      <c r="U22" s="151">
        <v>0.25</v>
      </c>
      <c r="V22" s="151">
        <v>0.75</v>
      </c>
      <c r="W22" s="4">
        <v>10240</v>
      </c>
      <c r="X22" s="86">
        <v>0.16500000000000001</v>
      </c>
      <c r="Y22" s="48">
        <v>14105.599999999999</v>
      </c>
      <c r="Z22" s="48">
        <v>10224.438</v>
      </c>
      <c r="AA22" s="48">
        <v>2935.13</v>
      </c>
      <c r="AB22" s="48">
        <v>27265.167999999998</v>
      </c>
      <c r="AC22" s="48">
        <f t="shared" si="0"/>
        <v>6816.2919999999995</v>
      </c>
      <c r="AD22" s="48">
        <f t="shared" si="1"/>
        <v>6816.2919999999995</v>
      </c>
      <c r="AE22" s="48">
        <f t="shared" si="6"/>
        <v>13632.583999999997</v>
      </c>
      <c r="AF22" s="49">
        <f t="shared" si="7"/>
        <v>0</v>
      </c>
      <c r="AG22" s="50">
        <f t="shared" si="2"/>
        <v>27265.167999999998</v>
      </c>
      <c r="AH22" s="51">
        <f t="shared" si="8"/>
        <v>0</v>
      </c>
      <c r="AI22" s="51">
        <f t="shared" si="9"/>
        <v>165243.44242424241</v>
      </c>
    </row>
    <row r="23" spans="1:37" s="24" customFormat="1" ht="15">
      <c r="A23" s="45" t="s">
        <v>40</v>
      </c>
      <c r="B23" s="46" t="s">
        <v>41</v>
      </c>
      <c r="C23" s="47" t="s">
        <v>42</v>
      </c>
      <c r="D23" s="3" t="s">
        <v>43</v>
      </c>
      <c r="E23" s="3" t="s">
        <v>279</v>
      </c>
      <c r="F23" s="4" t="s">
        <v>59</v>
      </c>
      <c r="G23" s="5">
        <v>0.25</v>
      </c>
      <c r="H23" s="7">
        <v>21</v>
      </c>
      <c r="I23" s="7" t="s">
        <v>108</v>
      </c>
      <c r="J23" s="4" t="s">
        <v>60</v>
      </c>
      <c r="K23" s="4" t="s">
        <v>219</v>
      </c>
      <c r="L23" s="4" t="s">
        <v>183</v>
      </c>
      <c r="M23" s="4" t="s">
        <v>167</v>
      </c>
      <c r="N23" s="4" t="s">
        <v>247</v>
      </c>
      <c r="O23" s="150" t="s">
        <v>365</v>
      </c>
      <c r="P23" s="150" t="s">
        <v>366</v>
      </c>
      <c r="Q23" s="150" t="s">
        <v>388</v>
      </c>
      <c r="R23" s="151">
        <v>0</v>
      </c>
      <c r="S23" s="151">
        <v>0</v>
      </c>
      <c r="T23" s="151">
        <v>0</v>
      </c>
      <c r="U23" s="151">
        <v>0.25</v>
      </c>
      <c r="V23" s="151">
        <v>0.75</v>
      </c>
      <c r="W23" s="4">
        <v>7371</v>
      </c>
      <c r="X23" s="86">
        <v>9.0476190476190474</v>
      </c>
      <c r="Y23" s="48">
        <v>36191.700000000004</v>
      </c>
      <c r="Z23" s="48">
        <v>21715.02</v>
      </c>
      <c r="AA23" s="48">
        <v>0</v>
      </c>
      <c r="AB23" s="48">
        <v>57906.720000000008</v>
      </c>
      <c r="AC23" s="48">
        <f t="shared" si="0"/>
        <v>14476.680000000002</v>
      </c>
      <c r="AD23" s="48">
        <f t="shared" si="1"/>
        <v>14476.680000000002</v>
      </c>
      <c r="AE23" s="48">
        <f t="shared" si="6"/>
        <v>28953.360000000008</v>
      </c>
      <c r="AF23" s="49">
        <f t="shared" si="7"/>
        <v>0</v>
      </c>
      <c r="AG23" s="50">
        <f t="shared" si="2"/>
        <v>57906.720000000016</v>
      </c>
      <c r="AH23" s="51">
        <f t="shared" si="8"/>
        <v>0</v>
      </c>
      <c r="AI23" s="51">
        <f t="shared" si="9"/>
        <v>6400.2164210526325</v>
      </c>
    </row>
    <row r="24" spans="1:37" s="24" customFormat="1" ht="15" customHeight="1">
      <c r="A24" s="45" t="s">
        <v>40</v>
      </c>
      <c r="B24" s="46" t="s">
        <v>41</v>
      </c>
      <c r="C24" s="47" t="s">
        <v>42</v>
      </c>
      <c r="D24" s="3" t="s">
        <v>43</v>
      </c>
      <c r="E24" s="3" t="s">
        <v>279</v>
      </c>
      <c r="F24" s="4" t="s">
        <v>59</v>
      </c>
      <c r="G24" s="5">
        <v>0.25</v>
      </c>
      <c r="H24" s="7">
        <v>10</v>
      </c>
      <c r="I24" s="7" t="s">
        <v>57</v>
      </c>
      <c r="J24" s="4" t="s">
        <v>60</v>
      </c>
      <c r="K24" s="4" t="s">
        <v>219</v>
      </c>
      <c r="L24" s="4" t="s">
        <v>183</v>
      </c>
      <c r="M24" s="4" t="s">
        <v>167</v>
      </c>
      <c r="N24" s="4" t="s">
        <v>247</v>
      </c>
      <c r="O24" s="150" t="s">
        <v>365</v>
      </c>
      <c r="P24" s="150" t="s">
        <v>366</v>
      </c>
      <c r="Q24" s="150" t="s">
        <v>388</v>
      </c>
      <c r="R24" s="151">
        <v>0</v>
      </c>
      <c r="S24" s="151">
        <v>0</v>
      </c>
      <c r="T24" s="151">
        <v>0</v>
      </c>
      <c r="U24" s="151">
        <v>0.25</v>
      </c>
      <c r="V24" s="151">
        <v>0.75</v>
      </c>
      <c r="W24" s="4">
        <v>8895</v>
      </c>
      <c r="X24" s="86">
        <v>5.8495145631067995</v>
      </c>
      <c r="Y24" s="48">
        <v>31570.093099999998</v>
      </c>
      <c r="Z24" s="48">
        <v>20423.339400000001</v>
      </c>
      <c r="AA24" s="48"/>
      <c r="AB24" s="48">
        <v>51993.432499999995</v>
      </c>
      <c r="AC24" s="48">
        <f t="shared" si="0"/>
        <v>12998.358124999999</v>
      </c>
      <c r="AD24" s="48">
        <f t="shared" si="1"/>
        <v>12998.358124999999</v>
      </c>
      <c r="AE24" s="48">
        <f t="shared" si="6"/>
        <v>25996.716249999998</v>
      </c>
      <c r="AF24" s="49">
        <f t="shared" si="7"/>
        <v>0</v>
      </c>
      <c r="AG24" s="50">
        <f t="shared" si="2"/>
        <v>51993.432499999995</v>
      </c>
      <c r="AH24" s="51">
        <f t="shared" si="8"/>
        <v>0</v>
      </c>
      <c r="AI24" s="51">
        <f t="shared" si="9"/>
        <v>8888.5038132780028</v>
      </c>
    </row>
    <row r="25" spans="1:37" s="24" customFormat="1" ht="15">
      <c r="A25" s="45" t="s">
        <v>40</v>
      </c>
      <c r="B25" s="46" t="s">
        <v>61</v>
      </c>
      <c r="C25" s="47" t="s">
        <v>42</v>
      </c>
      <c r="D25" s="3" t="s">
        <v>62</v>
      </c>
      <c r="E25" s="3" t="s">
        <v>63</v>
      </c>
      <c r="F25" s="4" t="s">
        <v>63</v>
      </c>
      <c r="G25" s="5">
        <v>0.25</v>
      </c>
      <c r="H25" s="7">
        <v>34</v>
      </c>
      <c r="I25" s="7" t="s">
        <v>120</v>
      </c>
      <c r="J25" s="4" t="s">
        <v>123</v>
      </c>
      <c r="K25" s="4" t="s">
        <v>129</v>
      </c>
      <c r="L25" s="4" t="s">
        <v>129</v>
      </c>
      <c r="M25" s="8" t="s">
        <v>191</v>
      </c>
      <c r="N25" s="4" t="s">
        <v>247</v>
      </c>
      <c r="O25" s="150" t="s">
        <v>216</v>
      </c>
      <c r="P25" s="150" t="s">
        <v>301</v>
      </c>
      <c r="Q25" s="150" t="s">
        <v>129</v>
      </c>
      <c r="R25" s="151">
        <v>0</v>
      </c>
      <c r="S25" s="151">
        <v>0.5</v>
      </c>
      <c r="T25" s="151">
        <v>0.5</v>
      </c>
      <c r="U25" s="151">
        <v>0</v>
      </c>
      <c r="V25" s="151">
        <v>0</v>
      </c>
      <c r="W25" s="4">
        <v>10270</v>
      </c>
      <c r="X25" s="86">
        <v>5.27</v>
      </c>
      <c r="Y25" s="48">
        <v>23459.42</v>
      </c>
      <c r="Z25" s="52">
        <v>24632.49</v>
      </c>
      <c r="AA25" s="48">
        <v>1855.85</v>
      </c>
      <c r="AB25" s="48">
        <v>49947.85</v>
      </c>
      <c r="AC25" s="48">
        <f t="shared" si="0"/>
        <v>12486.9625</v>
      </c>
      <c r="AD25" s="48">
        <f t="shared" si="1"/>
        <v>12486.9625</v>
      </c>
      <c r="AE25" s="48">
        <f t="shared" si="6"/>
        <v>24973.924999999996</v>
      </c>
      <c r="AF25" s="49">
        <f t="shared" si="7"/>
        <v>0</v>
      </c>
      <c r="AG25" s="50">
        <f t="shared" si="2"/>
        <v>49947.849999999991</v>
      </c>
      <c r="AH25" s="51">
        <f t="shared" si="8"/>
        <v>0</v>
      </c>
      <c r="AI25" s="51">
        <f t="shared" si="9"/>
        <v>9477.7703984819746</v>
      </c>
      <c r="AJ25" s="34"/>
      <c r="AK25" s="34"/>
    </row>
    <row r="26" spans="1:37" s="24" customFormat="1" ht="15" customHeight="1">
      <c r="A26" s="45" t="s">
        <v>40</v>
      </c>
      <c r="B26" s="46" t="s">
        <v>55</v>
      </c>
      <c r="C26" s="47" t="s">
        <v>42</v>
      </c>
      <c r="D26" s="3" t="s">
        <v>43</v>
      </c>
      <c r="E26" s="3" t="s">
        <v>277</v>
      </c>
      <c r="F26" s="4" t="s">
        <v>85</v>
      </c>
      <c r="G26" s="5">
        <v>0.25</v>
      </c>
      <c r="H26" s="7">
        <v>34</v>
      </c>
      <c r="I26" s="7" t="s">
        <v>120</v>
      </c>
      <c r="J26" s="4" t="s">
        <v>122</v>
      </c>
      <c r="K26" s="4" t="s">
        <v>211</v>
      </c>
      <c r="L26" s="4" t="s">
        <v>129</v>
      </c>
      <c r="M26" s="4" t="s">
        <v>191</v>
      </c>
      <c r="N26" s="4" t="s">
        <v>247</v>
      </c>
      <c r="O26" s="150" t="s">
        <v>216</v>
      </c>
      <c r="P26" s="150" t="s">
        <v>301</v>
      </c>
      <c r="Q26" s="150" t="s">
        <v>129</v>
      </c>
      <c r="R26" s="151">
        <v>1</v>
      </c>
      <c r="S26" s="151">
        <v>0</v>
      </c>
      <c r="T26" s="151">
        <v>0</v>
      </c>
      <c r="U26" s="151">
        <v>0</v>
      </c>
      <c r="V26" s="151">
        <v>0</v>
      </c>
      <c r="W26" s="4">
        <v>10270</v>
      </c>
      <c r="X26" s="86">
        <v>6.2204651162790681</v>
      </c>
      <c r="Y26" s="48">
        <v>18277.04</v>
      </c>
      <c r="Z26" s="52">
        <v>19190.892</v>
      </c>
      <c r="AA26" s="48">
        <v>2600.5</v>
      </c>
      <c r="AB26" s="48">
        <v>40068.432000000001</v>
      </c>
      <c r="AC26" s="48">
        <f t="shared" si="0"/>
        <v>10017.108</v>
      </c>
      <c r="AD26" s="48">
        <f t="shared" si="1"/>
        <v>10017.108</v>
      </c>
      <c r="AE26" s="48">
        <f t="shared" si="6"/>
        <v>20034.216</v>
      </c>
      <c r="AF26" s="49">
        <f t="shared" si="7"/>
        <v>0</v>
      </c>
      <c r="AG26" s="50">
        <f t="shared" si="2"/>
        <v>40068.432000000001</v>
      </c>
      <c r="AH26" s="51">
        <f t="shared" si="8"/>
        <v>0</v>
      </c>
      <c r="AI26" s="51">
        <f t="shared" si="9"/>
        <v>6441.3884253028282</v>
      </c>
      <c r="AJ26" s="34"/>
    </row>
    <row r="27" spans="1:37" s="24" customFormat="1" ht="15" customHeight="1">
      <c r="A27" s="45" t="s">
        <v>15</v>
      </c>
      <c r="B27" s="46" t="s">
        <v>22</v>
      </c>
      <c r="C27" s="47" t="s">
        <v>17</v>
      </c>
      <c r="D27" s="3" t="s">
        <v>23</v>
      </c>
      <c r="E27" s="6" t="s">
        <v>262</v>
      </c>
      <c r="F27" s="4" t="s">
        <v>24</v>
      </c>
      <c r="G27" s="5">
        <v>1</v>
      </c>
      <c r="H27" s="7">
        <v>1</v>
      </c>
      <c r="I27" s="7" t="s">
        <v>20</v>
      </c>
      <c r="J27" s="4" t="s">
        <v>25</v>
      </c>
      <c r="K27" s="4" t="s">
        <v>186</v>
      </c>
      <c r="L27" s="4" t="s">
        <v>187</v>
      </c>
      <c r="M27" s="4" t="s">
        <v>176</v>
      </c>
      <c r="N27" s="8" t="s">
        <v>246</v>
      </c>
      <c r="O27" s="150" t="s">
        <v>302</v>
      </c>
      <c r="P27" s="150" t="s">
        <v>187</v>
      </c>
      <c r="Q27" s="150" t="s">
        <v>368</v>
      </c>
      <c r="R27" s="151">
        <v>0</v>
      </c>
      <c r="S27" s="151">
        <v>0</v>
      </c>
      <c r="T27" s="151">
        <v>0</v>
      </c>
      <c r="U27" s="151">
        <v>0.25</v>
      </c>
      <c r="V27" s="151">
        <v>0.75</v>
      </c>
      <c r="W27" s="4">
        <v>8880</v>
      </c>
      <c r="X27" s="86">
        <v>7.7799999999999985</v>
      </c>
      <c r="Y27" s="48">
        <v>62625.660000000011</v>
      </c>
      <c r="Z27" s="48">
        <v>12525.132000000003</v>
      </c>
      <c r="AA27" s="48">
        <v>11449.929055970149</v>
      </c>
      <c r="AB27" s="48">
        <v>86600.721055970163</v>
      </c>
      <c r="AC27" s="48">
        <f t="shared" si="0"/>
        <v>86600.721055970163</v>
      </c>
      <c r="AD27" s="48">
        <f t="shared" si="1"/>
        <v>0</v>
      </c>
      <c r="AE27" s="48">
        <f t="shared" si="6"/>
        <v>0</v>
      </c>
      <c r="AF27" s="49">
        <f t="shared" si="7"/>
        <v>0</v>
      </c>
      <c r="AG27" s="50">
        <f t="shared" si="2"/>
        <v>86600.721055970163</v>
      </c>
      <c r="AH27" s="51">
        <f t="shared" si="8"/>
        <v>0</v>
      </c>
      <c r="AI27" s="51">
        <f t="shared" si="9"/>
        <v>11131.198079173546</v>
      </c>
      <c r="AK27" s="34"/>
    </row>
    <row r="28" spans="1:37" s="24" customFormat="1" ht="15" customHeight="1">
      <c r="A28" s="45" t="s">
        <v>40</v>
      </c>
      <c r="B28" s="46" t="s">
        <v>41</v>
      </c>
      <c r="C28" s="47" t="s">
        <v>42</v>
      </c>
      <c r="D28" s="3" t="s">
        <v>43</v>
      </c>
      <c r="E28" s="3" t="s">
        <v>276</v>
      </c>
      <c r="F28" s="4" t="s">
        <v>59</v>
      </c>
      <c r="G28" s="5">
        <v>0.25</v>
      </c>
      <c r="H28" s="7">
        <v>28</v>
      </c>
      <c r="I28" s="7" t="s">
        <v>118</v>
      </c>
      <c r="J28" s="4" t="s">
        <v>117</v>
      </c>
      <c r="K28" s="4" t="s">
        <v>171</v>
      </c>
      <c r="L28" s="4" t="s">
        <v>172</v>
      </c>
      <c r="M28" s="4" t="s">
        <v>173</v>
      </c>
      <c r="N28" s="4" t="s">
        <v>247</v>
      </c>
      <c r="O28" s="150" t="s">
        <v>302</v>
      </c>
      <c r="P28" s="150" t="s">
        <v>378</v>
      </c>
      <c r="Q28" s="150" t="s">
        <v>387</v>
      </c>
      <c r="R28" s="151">
        <v>0</v>
      </c>
      <c r="S28" s="151">
        <v>0</v>
      </c>
      <c r="T28" s="151">
        <v>0</v>
      </c>
      <c r="U28" s="151">
        <v>0.25</v>
      </c>
      <c r="V28" s="151">
        <v>0.75</v>
      </c>
      <c r="W28" s="4">
        <v>8560</v>
      </c>
      <c r="X28" s="86">
        <v>5.5699052132701441</v>
      </c>
      <c r="Y28" s="48">
        <v>16616.420022545753</v>
      </c>
      <c r="Z28" s="48">
        <v>13826.434653299115</v>
      </c>
      <c r="AA28" s="48">
        <v>6427.6377329527741</v>
      </c>
      <c r="AB28" s="48">
        <v>36870.49240879764</v>
      </c>
      <c r="AC28" s="48">
        <f t="shared" si="0"/>
        <v>9217.6231021994099</v>
      </c>
      <c r="AD28" s="48">
        <f t="shared" si="1"/>
        <v>9217.6231021994099</v>
      </c>
      <c r="AE28" s="48">
        <f t="shared" si="6"/>
        <v>18435.24620439882</v>
      </c>
      <c r="AF28" s="49">
        <f t="shared" si="7"/>
        <v>0</v>
      </c>
      <c r="AG28" s="50">
        <f t="shared" si="2"/>
        <v>36870.49240879764</v>
      </c>
      <c r="AH28" s="51">
        <f t="shared" si="8"/>
        <v>0</v>
      </c>
      <c r="AI28" s="51">
        <f t="shared" si="9"/>
        <v>6619.5906388056155</v>
      </c>
      <c r="AK28" s="83"/>
    </row>
    <row r="29" spans="1:37" s="24" customFormat="1" ht="15">
      <c r="A29" s="45" t="s">
        <v>40</v>
      </c>
      <c r="B29" s="46" t="s">
        <v>41</v>
      </c>
      <c r="C29" s="47" t="s">
        <v>42</v>
      </c>
      <c r="D29" s="3" t="s">
        <v>43</v>
      </c>
      <c r="E29" s="3" t="s">
        <v>279</v>
      </c>
      <c r="F29" s="4" t="s">
        <v>59</v>
      </c>
      <c r="G29" s="5">
        <v>0.25</v>
      </c>
      <c r="H29" s="7">
        <v>26</v>
      </c>
      <c r="I29" s="7" t="s">
        <v>116</v>
      </c>
      <c r="J29" s="4" t="s">
        <v>117</v>
      </c>
      <c r="K29" s="4" t="s">
        <v>171</v>
      </c>
      <c r="L29" s="4" t="s">
        <v>172</v>
      </c>
      <c r="M29" s="4" t="s">
        <v>173</v>
      </c>
      <c r="N29" s="4" t="s">
        <v>247</v>
      </c>
      <c r="O29" s="150" t="s">
        <v>302</v>
      </c>
      <c r="P29" s="150" t="s">
        <v>378</v>
      </c>
      <c r="Q29" s="150" t="s">
        <v>387</v>
      </c>
      <c r="R29" s="151">
        <v>0</v>
      </c>
      <c r="S29" s="151">
        <v>0</v>
      </c>
      <c r="T29" s="151">
        <v>0</v>
      </c>
      <c r="U29" s="151">
        <v>0.25</v>
      </c>
      <c r="V29" s="151">
        <v>0.75</v>
      </c>
      <c r="W29" s="4">
        <v>10240</v>
      </c>
      <c r="X29" s="86">
        <v>8.5326491765290076</v>
      </c>
      <c r="Y29" s="48">
        <v>48080.57</v>
      </c>
      <c r="Z29" s="48">
        <v>48316.160000000003</v>
      </c>
      <c r="AA29" s="48">
        <v>7114.2823999999991</v>
      </c>
      <c r="AB29" s="48">
        <v>103511.01239999999</v>
      </c>
      <c r="AC29" s="48">
        <f t="shared" si="0"/>
        <v>25877.753099999998</v>
      </c>
      <c r="AD29" s="48">
        <f t="shared" si="1"/>
        <v>25877.753099999998</v>
      </c>
      <c r="AE29" s="48">
        <f t="shared" si="6"/>
        <v>51755.506199999989</v>
      </c>
      <c r="AF29" s="49">
        <f t="shared" si="7"/>
        <v>0</v>
      </c>
      <c r="AG29" s="50">
        <f t="shared" si="2"/>
        <v>103511.01239999998</v>
      </c>
      <c r="AH29" s="51">
        <f t="shared" si="8"/>
        <v>0</v>
      </c>
      <c r="AI29" s="51">
        <f t="shared" si="9"/>
        <v>12131.169377586808</v>
      </c>
    </row>
    <row r="30" spans="1:37" s="24" customFormat="1" ht="15">
      <c r="A30" s="45" t="s">
        <v>40</v>
      </c>
      <c r="B30" s="46" t="s">
        <v>55</v>
      </c>
      <c r="C30" s="47" t="s">
        <v>42</v>
      </c>
      <c r="D30" s="3" t="s">
        <v>43</v>
      </c>
      <c r="E30" s="3" t="s">
        <v>275</v>
      </c>
      <c r="F30" s="4" t="s">
        <v>56</v>
      </c>
      <c r="G30" s="5">
        <v>0.25</v>
      </c>
      <c r="H30" s="7">
        <v>10</v>
      </c>
      <c r="I30" s="7" t="s">
        <v>57</v>
      </c>
      <c r="J30" s="4" t="s">
        <v>58</v>
      </c>
      <c r="K30" s="4" t="s">
        <v>165</v>
      </c>
      <c r="L30" s="4" t="s">
        <v>166</v>
      </c>
      <c r="M30" s="4" t="s">
        <v>191</v>
      </c>
      <c r="N30" s="4" t="s">
        <v>247</v>
      </c>
      <c r="O30" s="150" t="s">
        <v>216</v>
      </c>
      <c r="P30" s="150" t="s">
        <v>301</v>
      </c>
      <c r="Q30" s="150" t="s">
        <v>367</v>
      </c>
      <c r="R30" s="151">
        <v>1</v>
      </c>
      <c r="S30" s="151">
        <v>0</v>
      </c>
      <c r="T30" s="151">
        <v>0</v>
      </c>
      <c r="U30" s="151">
        <v>0</v>
      </c>
      <c r="V30" s="151">
        <v>0</v>
      </c>
      <c r="W30" s="4">
        <v>8895</v>
      </c>
      <c r="X30" s="86">
        <v>12.873786407766987</v>
      </c>
      <c r="Y30" s="48">
        <v>70268.916899999997</v>
      </c>
      <c r="Z30" s="48">
        <v>45458.400600000001</v>
      </c>
      <c r="AA30" s="48"/>
      <c r="AB30" s="48">
        <v>115727.3175</v>
      </c>
      <c r="AC30" s="48">
        <f t="shared" si="0"/>
        <v>28931.829375000001</v>
      </c>
      <c r="AD30" s="48">
        <f t="shared" si="1"/>
        <v>28931.829375000001</v>
      </c>
      <c r="AE30" s="48">
        <f t="shared" si="6"/>
        <v>57863.658750000002</v>
      </c>
      <c r="AF30" s="49">
        <f t="shared" si="7"/>
        <v>0</v>
      </c>
      <c r="AG30" s="50">
        <f t="shared" si="2"/>
        <v>115727.3175</v>
      </c>
      <c r="AH30" s="51">
        <f t="shared" si="8"/>
        <v>0</v>
      </c>
      <c r="AI30" s="51">
        <f t="shared" si="9"/>
        <v>8989.3768495475142</v>
      </c>
    </row>
    <row r="31" spans="1:37" s="24" customFormat="1" ht="15">
      <c r="A31" s="45" t="s">
        <v>40</v>
      </c>
      <c r="B31" s="46" t="s">
        <v>61</v>
      </c>
      <c r="C31" s="47" t="s">
        <v>42</v>
      </c>
      <c r="D31" s="3" t="s">
        <v>62</v>
      </c>
      <c r="E31" s="3" t="s">
        <v>63</v>
      </c>
      <c r="F31" s="4" t="s">
        <v>63</v>
      </c>
      <c r="G31" s="5">
        <v>0.25</v>
      </c>
      <c r="H31" s="7">
        <v>10</v>
      </c>
      <c r="I31" s="7" t="s">
        <v>57</v>
      </c>
      <c r="J31" s="4" t="s">
        <v>64</v>
      </c>
      <c r="K31" s="4" t="s">
        <v>166</v>
      </c>
      <c r="L31" s="4" t="s">
        <v>166</v>
      </c>
      <c r="M31" s="4" t="s">
        <v>191</v>
      </c>
      <c r="N31" s="4" t="s">
        <v>247</v>
      </c>
      <c r="O31" s="150" t="s">
        <v>365</v>
      </c>
      <c r="P31" s="150" t="s">
        <v>366</v>
      </c>
      <c r="Q31" s="150" t="s">
        <v>367</v>
      </c>
      <c r="R31" s="151">
        <v>0</v>
      </c>
      <c r="S31" s="151">
        <v>0</v>
      </c>
      <c r="T31" s="151">
        <v>0</v>
      </c>
      <c r="U31" s="151">
        <v>0.25</v>
      </c>
      <c r="V31" s="151">
        <v>0.75</v>
      </c>
      <c r="W31" s="4">
        <v>8895</v>
      </c>
      <c r="X31" s="86">
        <v>13.092233009708755</v>
      </c>
      <c r="Y31" s="48">
        <v>72241.05</v>
      </c>
      <c r="Z31" s="48">
        <v>42320.52</v>
      </c>
      <c r="AA31" s="48"/>
      <c r="AB31" s="48">
        <v>114561.57</v>
      </c>
      <c r="AC31" s="48">
        <f t="shared" si="0"/>
        <v>28640.392500000002</v>
      </c>
      <c r="AD31" s="48">
        <f t="shared" si="1"/>
        <v>28640.392500000002</v>
      </c>
      <c r="AE31" s="48">
        <f t="shared" si="6"/>
        <v>57280.785000000003</v>
      </c>
      <c r="AF31" s="49">
        <f t="shared" si="7"/>
        <v>0</v>
      </c>
      <c r="AG31" s="50">
        <f t="shared" si="2"/>
        <v>114561.57</v>
      </c>
      <c r="AH31" s="51">
        <f t="shared" si="8"/>
        <v>0</v>
      </c>
      <c r="AI31" s="51">
        <f t="shared" si="9"/>
        <v>8750.3460956618364</v>
      </c>
      <c r="AJ31" s="34"/>
    </row>
    <row r="32" spans="1:37" s="24" customFormat="1" ht="15">
      <c r="A32" s="45" t="s">
        <v>28</v>
      </c>
      <c r="B32" s="46" t="s">
        <v>28</v>
      </c>
      <c r="C32" s="47" t="s">
        <v>29</v>
      </c>
      <c r="D32" s="3" t="s">
        <v>30</v>
      </c>
      <c r="E32" s="3" t="s">
        <v>266</v>
      </c>
      <c r="F32" s="4" t="s">
        <v>33</v>
      </c>
      <c r="G32" s="5">
        <v>0.75</v>
      </c>
      <c r="H32" s="7">
        <v>1</v>
      </c>
      <c r="I32" s="7" t="s">
        <v>20</v>
      </c>
      <c r="J32" s="4" t="s">
        <v>34</v>
      </c>
      <c r="K32" s="4" t="s">
        <v>194</v>
      </c>
      <c r="L32" s="4" t="s">
        <v>195</v>
      </c>
      <c r="M32" s="4" t="s">
        <v>179</v>
      </c>
      <c r="N32" s="4" t="s">
        <v>246</v>
      </c>
      <c r="O32" s="150" t="s">
        <v>369</v>
      </c>
      <c r="P32" s="150" t="s">
        <v>371</v>
      </c>
      <c r="Q32" s="150" t="s">
        <v>371</v>
      </c>
      <c r="R32" s="151">
        <v>0</v>
      </c>
      <c r="S32" s="151">
        <v>0</v>
      </c>
      <c r="T32" s="151">
        <v>0</v>
      </c>
      <c r="U32" s="151">
        <v>0.25</v>
      </c>
      <c r="V32" s="151">
        <v>0.75</v>
      </c>
      <c r="W32" s="4">
        <v>8880</v>
      </c>
      <c r="X32" s="86">
        <v>31.349999999999994</v>
      </c>
      <c r="Y32" s="48">
        <v>156160.76999999999</v>
      </c>
      <c r="Z32" s="48">
        <v>31232.153999999999</v>
      </c>
      <c r="AA32" s="48">
        <v>5704.2249745083745</v>
      </c>
      <c r="AB32" s="48">
        <v>193097.14897450799</v>
      </c>
      <c r="AC32" s="48">
        <f t="shared" si="0"/>
        <v>144822.86173088098</v>
      </c>
      <c r="AD32" s="48">
        <f t="shared" si="1"/>
        <v>0</v>
      </c>
      <c r="AE32" s="48">
        <f t="shared" si="6"/>
        <v>0</v>
      </c>
      <c r="AF32" s="49">
        <f t="shared" si="7"/>
        <v>48274.287243627012</v>
      </c>
      <c r="AG32" s="50">
        <f t="shared" si="2"/>
        <v>193097.14897450799</v>
      </c>
      <c r="AH32" s="51">
        <f t="shared" si="8"/>
        <v>0</v>
      </c>
      <c r="AI32" s="51">
        <f t="shared" si="9"/>
        <v>6159.3986913718672</v>
      </c>
      <c r="AK32" s="34"/>
    </row>
    <row r="33" spans="1:37" s="24" customFormat="1" ht="15">
      <c r="A33" s="45" t="s">
        <v>40</v>
      </c>
      <c r="B33" s="46" t="s">
        <v>61</v>
      </c>
      <c r="C33" s="47" t="s">
        <v>42</v>
      </c>
      <c r="D33" s="3" t="s">
        <v>62</v>
      </c>
      <c r="E33" s="3" t="s">
        <v>63</v>
      </c>
      <c r="F33" s="4" t="s">
        <v>63</v>
      </c>
      <c r="G33" s="5">
        <v>0.25</v>
      </c>
      <c r="H33" s="7">
        <v>16</v>
      </c>
      <c r="I33" s="7" t="s">
        <v>96</v>
      </c>
      <c r="J33" s="4" t="s">
        <v>99</v>
      </c>
      <c r="K33" s="4" t="s">
        <v>212</v>
      </c>
      <c r="L33" s="4" t="s">
        <v>202</v>
      </c>
      <c r="M33" s="4" t="s">
        <v>191</v>
      </c>
      <c r="N33" s="4" t="s">
        <v>247</v>
      </c>
      <c r="O33" s="150" t="s">
        <v>216</v>
      </c>
      <c r="P33" s="150" t="s">
        <v>301</v>
      </c>
      <c r="Q33" s="150" t="s">
        <v>305</v>
      </c>
      <c r="R33" s="151">
        <v>0</v>
      </c>
      <c r="S33" s="151">
        <v>1</v>
      </c>
      <c r="T33" s="151">
        <v>0</v>
      </c>
      <c r="U33" s="151">
        <v>0</v>
      </c>
      <c r="V33" s="151">
        <v>0</v>
      </c>
      <c r="W33" s="4">
        <v>7740</v>
      </c>
      <c r="X33" s="86">
        <v>1.554438095238095</v>
      </c>
      <c r="Y33" s="48">
        <v>8418.6</v>
      </c>
      <c r="Z33" s="48">
        <v>6734.88</v>
      </c>
      <c r="AA33" s="48"/>
      <c r="AB33" s="48">
        <v>15153.48</v>
      </c>
      <c r="AC33" s="48">
        <f t="shared" si="0"/>
        <v>3788.37</v>
      </c>
      <c r="AD33" s="48">
        <f t="shared" si="1"/>
        <v>3788.37</v>
      </c>
      <c r="AE33" s="48">
        <f t="shared" si="6"/>
        <v>7576.7400000000007</v>
      </c>
      <c r="AF33" s="49">
        <f t="shared" si="7"/>
        <v>0</v>
      </c>
      <c r="AG33" s="50">
        <f t="shared" si="2"/>
        <v>15153.48</v>
      </c>
      <c r="AH33" s="51">
        <f t="shared" si="8"/>
        <v>0</v>
      </c>
      <c r="AI33" s="51">
        <f t="shared" si="9"/>
        <v>9748.5258798157065</v>
      </c>
    </row>
    <row r="34" spans="1:37" s="24" customFormat="1" ht="15">
      <c r="A34" s="45" t="s">
        <v>40</v>
      </c>
      <c r="B34" s="46" t="s">
        <v>55</v>
      </c>
      <c r="C34" s="47" t="s">
        <v>42</v>
      </c>
      <c r="D34" s="3" t="s">
        <v>43</v>
      </c>
      <c r="E34" s="3" t="s">
        <v>277</v>
      </c>
      <c r="F34" s="4" t="s">
        <v>85</v>
      </c>
      <c r="G34" s="5">
        <v>0.25</v>
      </c>
      <c r="H34" s="7">
        <v>16</v>
      </c>
      <c r="I34" s="7" t="s">
        <v>96</v>
      </c>
      <c r="J34" s="4" t="s">
        <v>97</v>
      </c>
      <c r="K34" s="4" t="s">
        <v>201</v>
      </c>
      <c r="L34" s="4" t="s">
        <v>202</v>
      </c>
      <c r="M34" s="4" t="s">
        <v>191</v>
      </c>
      <c r="N34" s="4" t="s">
        <v>247</v>
      </c>
      <c r="O34" s="150" t="s">
        <v>216</v>
      </c>
      <c r="P34" s="150" t="s">
        <v>301</v>
      </c>
      <c r="Q34" s="150" t="s">
        <v>305</v>
      </c>
      <c r="R34" s="151">
        <v>1</v>
      </c>
      <c r="S34" s="151">
        <v>0</v>
      </c>
      <c r="T34" s="151">
        <v>0</v>
      </c>
      <c r="U34" s="151">
        <v>0</v>
      </c>
      <c r="V34" s="151">
        <v>0</v>
      </c>
      <c r="W34" s="4">
        <v>7740</v>
      </c>
      <c r="X34" s="86">
        <v>2.7356952380952357</v>
      </c>
      <c r="Y34" s="48">
        <v>16392.400000000001</v>
      </c>
      <c r="Z34" s="48">
        <v>13113.92</v>
      </c>
      <c r="AA34" s="48">
        <v>1490.76</v>
      </c>
      <c r="AB34" s="48">
        <v>30997.08</v>
      </c>
      <c r="AC34" s="48">
        <f t="shared" ref="AC34:AC65" si="10">AB34*G34</f>
        <v>7749.27</v>
      </c>
      <c r="AD34" s="48">
        <f t="shared" ref="AD34:AD65" si="11">IF(G34=25%,(AB34*G34),0)</f>
        <v>7749.27</v>
      </c>
      <c r="AE34" s="48">
        <f t="shared" si="6"/>
        <v>15498.54</v>
      </c>
      <c r="AF34" s="49">
        <f t="shared" si="7"/>
        <v>0</v>
      </c>
      <c r="AG34" s="50">
        <f t="shared" ref="AG34:AG65" si="12">SUM(AC34:AF34)</f>
        <v>30997.08</v>
      </c>
      <c r="AH34" s="51">
        <f t="shared" si="8"/>
        <v>0</v>
      </c>
      <c r="AI34" s="51">
        <f t="shared" si="9"/>
        <v>11330.604216565487</v>
      </c>
    </row>
    <row r="35" spans="1:37" s="34" customFormat="1" ht="15">
      <c r="A35" s="45" t="s">
        <v>40</v>
      </c>
      <c r="B35" s="46" t="s">
        <v>55</v>
      </c>
      <c r="C35" s="47" t="s">
        <v>42</v>
      </c>
      <c r="D35" s="3" t="s">
        <v>43</v>
      </c>
      <c r="E35" s="3" t="s">
        <v>277</v>
      </c>
      <c r="F35" s="4" t="s">
        <v>85</v>
      </c>
      <c r="G35" s="5">
        <v>0.25</v>
      </c>
      <c r="H35" s="7">
        <v>17</v>
      </c>
      <c r="I35" s="7" t="s">
        <v>105</v>
      </c>
      <c r="J35" s="4" t="s">
        <v>97</v>
      </c>
      <c r="K35" s="4" t="s">
        <v>201</v>
      </c>
      <c r="L35" s="4" t="s">
        <v>202</v>
      </c>
      <c r="M35" s="4" t="s">
        <v>191</v>
      </c>
      <c r="N35" s="4" t="s">
        <v>247</v>
      </c>
      <c r="O35" s="150" t="s">
        <v>216</v>
      </c>
      <c r="P35" s="150" t="s">
        <v>301</v>
      </c>
      <c r="Q35" s="150" t="s">
        <v>305</v>
      </c>
      <c r="R35" s="151">
        <v>1</v>
      </c>
      <c r="S35" s="151">
        <v>0</v>
      </c>
      <c r="T35" s="151">
        <v>0</v>
      </c>
      <c r="U35" s="151">
        <v>0</v>
      </c>
      <c r="V35" s="151">
        <v>0</v>
      </c>
      <c r="W35" s="4">
        <v>4960</v>
      </c>
      <c r="X35" s="86">
        <v>2.7442396313364079</v>
      </c>
      <c r="Y35" s="48">
        <v>7084.9500000000007</v>
      </c>
      <c r="Z35" s="48">
        <v>7430.5481381196514</v>
      </c>
      <c r="AA35" s="48">
        <v>5299.2968968660853</v>
      </c>
      <c r="AB35" s="48">
        <v>19814.795034985738</v>
      </c>
      <c r="AC35" s="48">
        <f t="shared" si="10"/>
        <v>4953.6987587464346</v>
      </c>
      <c r="AD35" s="48">
        <f t="shared" si="11"/>
        <v>4953.6987587464346</v>
      </c>
      <c r="AE35" s="48">
        <f t="shared" si="6"/>
        <v>9907.3975174928673</v>
      </c>
      <c r="AF35" s="49">
        <f t="shared" si="7"/>
        <v>0</v>
      </c>
      <c r="AG35" s="50">
        <f t="shared" si="12"/>
        <v>19814.795034985735</v>
      </c>
      <c r="AH35" s="51">
        <f t="shared" si="8"/>
        <v>0</v>
      </c>
      <c r="AI35" s="51">
        <f t="shared" si="9"/>
        <v>7220.5046559057955</v>
      </c>
      <c r="AJ35" s="24"/>
      <c r="AK35" s="24"/>
    </row>
    <row r="36" spans="1:37" s="34" customFormat="1" ht="15">
      <c r="A36" s="45" t="s">
        <v>40</v>
      </c>
      <c r="B36" s="46" t="s">
        <v>66</v>
      </c>
      <c r="C36" s="47" t="s">
        <v>42</v>
      </c>
      <c r="D36" s="3" t="s">
        <v>62</v>
      </c>
      <c r="E36" s="3" t="s">
        <v>63</v>
      </c>
      <c r="F36" s="4" t="s">
        <v>63</v>
      </c>
      <c r="G36" s="5">
        <v>0.25</v>
      </c>
      <c r="H36" s="7">
        <v>12</v>
      </c>
      <c r="I36" s="7" t="s">
        <v>77</v>
      </c>
      <c r="J36" s="4" t="s">
        <v>243</v>
      </c>
      <c r="K36" s="4" t="s">
        <v>241</v>
      </c>
      <c r="L36" s="4" t="s">
        <v>241</v>
      </c>
      <c r="M36" s="8" t="s">
        <v>224</v>
      </c>
      <c r="N36" s="8" t="s">
        <v>246</v>
      </c>
      <c r="O36" s="150" t="s">
        <v>216</v>
      </c>
      <c r="P36" s="150" t="s">
        <v>301</v>
      </c>
      <c r="Q36" s="150" t="s">
        <v>241</v>
      </c>
      <c r="R36" s="151">
        <v>0</v>
      </c>
      <c r="S36" s="151">
        <v>0.1</v>
      </c>
      <c r="T36" s="151">
        <v>0.9</v>
      </c>
      <c r="U36" s="151">
        <v>0</v>
      </c>
      <c r="V36" s="151">
        <v>0</v>
      </c>
      <c r="W36" s="4">
        <v>7819</v>
      </c>
      <c r="X36" s="86">
        <f>4.37214885954382*50%</f>
        <v>2.1860744297719101</v>
      </c>
      <c r="Y36" s="48">
        <f>12467.78*50%</f>
        <v>6233.89</v>
      </c>
      <c r="Z36" s="48">
        <f>8891.64*50%</f>
        <v>4445.82</v>
      </c>
      <c r="AA36" s="48">
        <f>2351.62*50%</f>
        <v>1175.81</v>
      </c>
      <c r="AB36" s="48">
        <f>23711.04*50%</f>
        <v>11855.52</v>
      </c>
      <c r="AC36" s="48">
        <f t="shared" si="10"/>
        <v>2963.88</v>
      </c>
      <c r="AD36" s="48">
        <f t="shared" si="11"/>
        <v>2963.88</v>
      </c>
      <c r="AE36" s="48">
        <f t="shared" si="6"/>
        <v>5927.7599999999993</v>
      </c>
      <c r="AF36" s="49">
        <f t="shared" si="7"/>
        <v>0</v>
      </c>
      <c r="AG36" s="50">
        <f t="shared" si="12"/>
        <v>11855.52</v>
      </c>
      <c r="AH36" s="51">
        <f t="shared" si="8"/>
        <v>0</v>
      </c>
      <c r="AI36" s="51">
        <f t="shared" si="9"/>
        <v>5423.200527182863</v>
      </c>
      <c r="AJ36" s="24"/>
      <c r="AK36" s="24"/>
    </row>
    <row r="37" spans="1:37" s="24" customFormat="1" ht="15">
      <c r="A37" s="45" t="s">
        <v>40</v>
      </c>
      <c r="B37" s="46" t="s">
        <v>55</v>
      </c>
      <c r="C37" s="47" t="s">
        <v>42</v>
      </c>
      <c r="D37" s="3" t="s">
        <v>43</v>
      </c>
      <c r="E37" s="3" t="s">
        <v>277</v>
      </c>
      <c r="F37" s="4" t="s">
        <v>85</v>
      </c>
      <c r="G37" s="5">
        <v>0.25</v>
      </c>
      <c r="H37" s="7">
        <v>21</v>
      </c>
      <c r="I37" s="7" t="s">
        <v>111</v>
      </c>
      <c r="J37" s="4" t="s">
        <v>112</v>
      </c>
      <c r="K37" s="4" t="s">
        <v>225</v>
      </c>
      <c r="L37" s="4" t="s">
        <v>209</v>
      </c>
      <c r="M37" s="4" t="s">
        <v>191</v>
      </c>
      <c r="N37" s="4" t="s">
        <v>247</v>
      </c>
      <c r="O37" s="150" t="s">
        <v>302</v>
      </c>
      <c r="P37" s="150" t="s">
        <v>378</v>
      </c>
      <c r="Q37" s="150" t="s">
        <v>209</v>
      </c>
      <c r="R37" s="151">
        <v>0</v>
      </c>
      <c r="S37" s="151">
        <v>0</v>
      </c>
      <c r="T37" s="151">
        <v>0</v>
      </c>
      <c r="U37" s="151">
        <v>0.25</v>
      </c>
      <c r="V37" s="151">
        <v>0.75</v>
      </c>
      <c r="W37" s="4">
        <v>7371</v>
      </c>
      <c r="X37" s="86">
        <v>0.86507936507936545</v>
      </c>
      <c r="Y37" s="48">
        <v>3852</v>
      </c>
      <c r="Z37" s="48">
        <v>1926</v>
      </c>
      <c r="AA37" s="48"/>
      <c r="AB37" s="48">
        <v>5778</v>
      </c>
      <c r="AC37" s="48">
        <f t="shared" si="10"/>
        <v>1444.5</v>
      </c>
      <c r="AD37" s="48">
        <f t="shared" si="11"/>
        <v>1444.5</v>
      </c>
      <c r="AE37" s="48">
        <f t="shared" si="6"/>
        <v>2889</v>
      </c>
      <c r="AF37" s="49">
        <f t="shared" si="7"/>
        <v>0</v>
      </c>
      <c r="AG37" s="50">
        <f t="shared" si="12"/>
        <v>5778</v>
      </c>
      <c r="AH37" s="51">
        <f t="shared" si="8"/>
        <v>0</v>
      </c>
      <c r="AI37" s="51">
        <f t="shared" si="9"/>
        <v>6679.1559633027491</v>
      </c>
    </row>
    <row r="38" spans="1:37" s="24" customFormat="1" ht="15">
      <c r="A38" s="45" t="s">
        <v>40</v>
      </c>
      <c r="B38" s="46" t="s">
        <v>41</v>
      </c>
      <c r="C38" s="47" t="s">
        <v>42</v>
      </c>
      <c r="D38" s="3" t="s">
        <v>43</v>
      </c>
      <c r="E38" s="3" t="s">
        <v>272</v>
      </c>
      <c r="F38" s="4" t="s">
        <v>44</v>
      </c>
      <c r="G38" s="5">
        <v>0.75</v>
      </c>
      <c r="H38" s="7">
        <v>1</v>
      </c>
      <c r="I38" s="7" t="s">
        <v>20</v>
      </c>
      <c r="J38" s="4" t="s">
        <v>45</v>
      </c>
      <c r="K38" s="84" t="s">
        <v>168</v>
      </c>
      <c r="L38" s="4" t="s">
        <v>169</v>
      </c>
      <c r="M38" s="85" t="s">
        <v>169</v>
      </c>
      <c r="N38" s="4" t="s">
        <v>247</v>
      </c>
      <c r="O38" s="150" t="s">
        <v>302</v>
      </c>
      <c r="P38" s="150" t="s">
        <v>378</v>
      </c>
      <c r="Q38" s="150" t="s">
        <v>173</v>
      </c>
      <c r="R38" s="151">
        <v>0</v>
      </c>
      <c r="S38" s="151">
        <v>0</v>
      </c>
      <c r="T38" s="151">
        <v>0</v>
      </c>
      <c r="U38" s="151">
        <v>0.25</v>
      </c>
      <c r="V38" s="151">
        <v>0.75</v>
      </c>
      <c r="W38" s="4">
        <v>8880</v>
      </c>
      <c r="X38" s="86">
        <v>10.370000000000001</v>
      </c>
      <c r="Y38" s="48">
        <v>102561.43</v>
      </c>
      <c r="Z38" s="48">
        <v>20512.286</v>
      </c>
      <c r="AA38" s="48">
        <v>5629.2120000000004</v>
      </c>
      <c r="AB38" s="48">
        <v>128702.92799999999</v>
      </c>
      <c r="AC38" s="48">
        <f t="shared" si="10"/>
        <v>96527.195999999996</v>
      </c>
      <c r="AD38" s="48">
        <f t="shared" si="11"/>
        <v>0</v>
      </c>
      <c r="AE38" s="48">
        <f t="shared" si="6"/>
        <v>0</v>
      </c>
      <c r="AF38" s="49">
        <f t="shared" si="7"/>
        <v>32175.731999999989</v>
      </c>
      <c r="AG38" s="50">
        <f t="shared" si="12"/>
        <v>128702.92799999999</v>
      </c>
      <c r="AH38" s="51">
        <f t="shared" si="8"/>
        <v>0</v>
      </c>
      <c r="AI38" s="51">
        <f t="shared" si="9"/>
        <v>12411.082738669236</v>
      </c>
    </row>
    <row r="39" spans="1:37" s="24" customFormat="1" ht="15">
      <c r="A39" s="45" t="s">
        <v>40</v>
      </c>
      <c r="B39" s="46" t="s">
        <v>61</v>
      </c>
      <c r="C39" s="47" t="s">
        <v>42</v>
      </c>
      <c r="D39" s="3" t="s">
        <v>62</v>
      </c>
      <c r="E39" s="3" t="s">
        <v>63</v>
      </c>
      <c r="F39" s="4" t="s">
        <v>63</v>
      </c>
      <c r="G39" s="5">
        <v>0.25</v>
      </c>
      <c r="H39" s="7">
        <v>14</v>
      </c>
      <c r="I39" s="7" t="s">
        <v>89</v>
      </c>
      <c r="J39" s="4" t="s">
        <v>91</v>
      </c>
      <c r="K39" s="4" t="s">
        <v>208</v>
      </c>
      <c r="L39" s="4" t="s">
        <v>208</v>
      </c>
      <c r="M39" s="4" t="s">
        <v>191</v>
      </c>
      <c r="N39" s="4" t="s">
        <v>247</v>
      </c>
      <c r="O39" s="150" t="s">
        <v>216</v>
      </c>
      <c r="P39" s="150" t="s">
        <v>301</v>
      </c>
      <c r="Q39" s="150" t="s">
        <v>208</v>
      </c>
      <c r="R39" s="151">
        <v>0</v>
      </c>
      <c r="S39" s="151">
        <v>0.2</v>
      </c>
      <c r="T39" s="151">
        <v>0.8</v>
      </c>
      <c r="U39" s="151">
        <v>0</v>
      </c>
      <c r="V39" s="151">
        <v>0</v>
      </c>
      <c r="W39" s="4">
        <v>8640</v>
      </c>
      <c r="X39" s="86">
        <v>16.015284345047917</v>
      </c>
      <c r="Y39" s="48">
        <v>61242.16</v>
      </c>
      <c r="Z39" s="48">
        <v>36745.296000000002</v>
      </c>
      <c r="AA39" s="48"/>
      <c r="AB39" s="48">
        <v>97987.456000000006</v>
      </c>
      <c r="AC39" s="48">
        <f t="shared" si="10"/>
        <v>24496.864000000001</v>
      </c>
      <c r="AD39" s="48">
        <f t="shared" si="11"/>
        <v>24496.864000000001</v>
      </c>
      <c r="AE39" s="48">
        <f t="shared" si="6"/>
        <v>48993.728000000003</v>
      </c>
      <c r="AF39" s="49">
        <f t="shared" si="7"/>
        <v>0</v>
      </c>
      <c r="AG39" s="50">
        <f t="shared" si="12"/>
        <v>97987.456000000006</v>
      </c>
      <c r="AH39" s="51">
        <f t="shared" si="8"/>
        <v>0</v>
      </c>
      <c r="AI39" s="51">
        <f t="shared" si="9"/>
        <v>6118.3712938758208</v>
      </c>
      <c r="AJ39" s="34"/>
    </row>
    <row r="40" spans="1:37" s="24" customFormat="1" ht="15">
      <c r="A40" s="45" t="s">
        <v>40</v>
      </c>
      <c r="B40" s="46" t="s">
        <v>55</v>
      </c>
      <c r="C40" s="47" t="s">
        <v>42</v>
      </c>
      <c r="D40" s="3" t="s">
        <v>43</v>
      </c>
      <c r="E40" s="3" t="s">
        <v>277</v>
      </c>
      <c r="F40" s="4" t="s">
        <v>85</v>
      </c>
      <c r="G40" s="5">
        <v>0.25</v>
      </c>
      <c r="H40" s="7">
        <v>14</v>
      </c>
      <c r="I40" s="7" t="s">
        <v>89</v>
      </c>
      <c r="J40" s="4" t="s">
        <v>90</v>
      </c>
      <c r="K40" s="4" t="s">
        <v>207</v>
      </c>
      <c r="L40" s="4" t="s">
        <v>208</v>
      </c>
      <c r="M40" s="4" t="s">
        <v>191</v>
      </c>
      <c r="N40" s="4" t="s">
        <v>247</v>
      </c>
      <c r="O40" s="150" t="s">
        <v>216</v>
      </c>
      <c r="P40" s="150" t="s">
        <v>301</v>
      </c>
      <c r="Q40" s="150" t="s">
        <v>208</v>
      </c>
      <c r="R40" s="151">
        <v>1</v>
      </c>
      <c r="S40" s="151">
        <v>0</v>
      </c>
      <c r="T40" s="151">
        <v>0</v>
      </c>
      <c r="U40" s="151">
        <v>0</v>
      </c>
      <c r="V40" s="151">
        <v>0</v>
      </c>
      <c r="W40" s="4">
        <v>8640</v>
      </c>
      <c r="X40" s="86">
        <v>3.361927262494</v>
      </c>
      <c r="Y40" s="48">
        <v>12956.147591405699</v>
      </c>
      <c r="Z40" s="48">
        <v>7773.6885548434302</v>
      </c>
      <c r="AA40" s="48"/>
      <c r="AB40" s="48">
        <v>20729.836146249101</v>
      </c>
      <c r="AC40" s="48">
        <f t="shared" si="10"/>
        <v>5182.4590365622753</v>
      </c>
      <c r="AD40" s="48">
        <f t="shared" si="11"/>
        <v>5182.4590365622753</v>
      </c>
      <c r="AE40" s="48">
        <f t="shared" si="6"/>
        <v>10364.918073124551</v>
      </c>
      <c r="AF40" s="49">
        <f t="shared" si="7"/>
        <v>0</v>
      </c>
      <c r="AG40" s="50">
        <f t="shared" si="12"/>
        <v>20729.836146249101</v>
      </c>
      <c r="AH40" s="51">
        <f t="shared" si="8"/>
        <v>0</v>
      </c>
      <c r="AI40" s="51">
        <f t="shared" si="9"/>
        <v>6166.0573021651144</v>
      </c>
    </row>
    <row r="41" spans="1:37" s="24" customFormat="1" ht="15" customHeight="1">
      <c r="A41" s="45" t="s">
        <v>40</v>
      </c>
      <c r="B41" s="46" t="s">
        <v>66</v>
      </c>
      <c r="C41" s="47" t="s">
        <v>67</v>
      </c>
      <c r="D41" s="3" t="s">
        <v>68</v>
      </c>
      <c r="E41" s="3" t="s">
        <v>92</v>
      </c>
      <c r="F41" s="4" t="s">
        <v>92</v>
      </c>
      <c r="G41" s="5">
        <v>0.4</v>
      </c>
      <c r="H41" s="7">
        <v>14</v>
      </c>
      <c r="I41" s="7" t="s">
        <v>93</v>
      </c>
      <c r="J41" s="4" t="s">
        <v>94</v>
      </c>
      <c r="K41" s="4" t="s">
        <v>208</v>
      </c>
      <c r="L41" s="4" t="s">
        <v>208</v>
      </c>
      <c r="M41" s="8" t="s">
        <v>224</v>
      </c>
      <c r="N41" s="8" t="s">
        <v>246</v>
      </c>
      <c r="O41" s="150" t="s">
        <v>216</v>
      </c>
      <c r="P41" s="150" t="s">
        <v>301</v>
      </c>
      <c r="Q41" s="150" t="s">
        <v>208</v>
      </c>
      <c r="R41" s="151">
        <v>0</v>
      </c>
      <c r="S41" s="151">
        <v>0.2</v>
      </c>
      <c r="T41" s="151">
        <v>0.8</v>
      </c>
      <c r="U41" s="151">
        <v>0</v>
      </c>
      <c r="V41" s="151">
        <v>0</v>
      </c>
      <c r="W41" s="4">
        <v>8640</v>
      </c>
      <c r="X41" s="86">
        <v>7.0809968051118188</v>
      </c>
      <c r="Y41" s="48">
        <v>37826.519999999997</v>
      </c>
      <c r="Z41" s="48">
        <v>22695.911999999997</v>
      </c>
      <c r="AA41" s="48"/>
      <c r="AB41" s="48">
        <v>60522.431999999993</v>
      </c>
      <c r="AC41" s="48">
        <f t="shared" si="10"/>
        <v>24208.9728</v>
      </c>
      <c r="AD41" s="48">
        <f t="shared" si="11"/>
        <v>0</v>
      </c>
      <c r="AE41" s="48">
        <f>IF(G41=25%,AB41-AC41-AD41,0)+IF(G41=40%,AB41-AC41-AD41,0)</f>
        <v>36313.459199999998</v>
      </c>
      <c r="AF41" s="49">
        <v>0</v>
      </c>
      <c r="AG41" s="50">
        <f t="shared" si="12"/>
        <v>60522.432000000001</v>
      </c>
      <c r="AH41" s="51">
        <f t="shared" si="8"/>
        <v>0</v>
      </c>
      <c r="AI41" s="51">
        <f t="shared" si="9"/>
        <v>8547.1627322735749</v>
      </c>
    </row>
    <row r="42" spans="1:37" s="24" customFormat="1" ht="15">
      <c r="A42" s="45" t="s">
        <v>40</v>
      </c>
      <c r="B42" s="46" t="s">
        <v>66</v>
      </c>
      <c r="C42" s="47" t="s">
        <v>67</v>
      </c>
      <c r="D42" s="3" t="s">
        <v>68</v>
      </c>
      <c r="E42" s="3" t="s">
        <v>76</v>
      </c>
      <c r="F42" s="4" t="s">
        <v>76</v>
      </c>
      <c r="G42" s="5">
        <v>0.4</v>
      </c>
      <c r="H42" s="7">
        <v>14</v>
      </c>
      <c r="I42" s="7" t="s">
        <v>93</v>
      </c>
      <c r="J42" s="8" t="s">
        <v>95</v>
      </c>
      <c r="K42" s="8" t="s">
        <v>208</v>
      </c>
      <c r="L42" s="4" t="s">
        <v>208</v>
      </c>
      <c r="M42" s="8" t="s">
        <v>224</v>
      </c>
      <c r="N42" s="8" t="s">
        <v>246</v>
      </c>
      <c r="O42" s="150" t="s">
        <v>216</v>
      </c>
      <c r="P42" s="150" t="s">
        <v>301</v>
      </c>
      <c r="Q42" s="150" t="s">
        <v>208</v>
      </c>
      <c r="R42" s="151">
        <v>0</v>
      </c>
      <c r="S42" s="151">
        <v>0.2</v>
      </c>
      <c r="T42" s="151">
        <v>0.8</v>
      </c>
      <c r="U42" s="151">
        <v>0</v>
      </c>
      <c r="V42" s="151">
        <v>0</v>
      </c>
      <c r="W42" s="4">
        <v>8640</v>
      </c>
      <c r="X42" s="86">
        <v>2.2619041533546298</v>
      </c>
      <c r="Y42" s="48">
        <v>8826.3346138617399</v>
      </c>
      <c r="Z42" s="48">
        <v>5295.8007683170499</v>
      </c>
      <c r="AA42" s="48"/>
      <c r="AB42" s="48">
        <v>14122.1353821788</v>
      </c>
      <c r="AC42" s="48">
        <f t="shared" si="10"/>
        <v>5648.8541528715205</v>
      </c>
      <c r="AD42" s="48">
        <f t="shared" si="11"/>
        <v>0</v>
      </c>
      <c r="AE42" s="48">
        <f>IF(G42=25%,AB42-AC42-AD42,0)+IF(G42=40%,AB42-AC42-AD42,0)</f>
        <v>8473.2812293072784</v>
      </c>
      <c r="AF42" s="49">
        <v>0</v>
      </c>
      <c r="AG42" s="50">
        <f t="shared" si="12"/>
        <v>14122.1353821788</v>
      </c>
      <c r="AH42" s="51">
        <f t="shared" si="8"/>
        <v>0</v>
      </c>
      <c r="AI42" s="51">
        <f t="shared" si="9"/>
        <v>6243.4720592533786</v>
      </c>
    </row>
    <row r="43" spans="1:37" s="24" customFormat="1" ht="15">
      <c r="A43" s="45" t="s">
        <v>40</v>
      </c>
      <c r="B43" s="46" t="s">
        <v>41</v>
      </c>
      <c r="C43" s="47" t="s">
        <v>42</v>
      </c>
      <c r="D43" s="3" t="s">
        <v>62</v>
      </c>
      <c r="E43" s="3" t="s">
        <v>109</v>
      </c>
      <c r="F43" s="4" t="s">
        <v>109</v>
      </c>
      <c r="G43" s="5">
        <v>0.25</v>
      </c>
      <c r="H43" s="7">
        <v>21</v>
      </c>
      <c r="I43" s="7" t="s">
        <v>108</v>
      </c>
      <c r="J43" s="4" t="s">
        <v>110</v>
      </c>
      <c r="K43" s="4" t="s">
        <v>168</v>
      </c>
      <c r="L43" s="4" t="s">
        <v>169</v>
      </c>
      <c r="M43" s="4" t="s">
        <v>173</v>
      </c>
      <c r="N43" s="4" t="s">
        <v>247</v>
      </c>
      <c r="O43" s="150" t="s">
        <v>302</v>
      </c>
      <c r="P43" s="150" t="s">
        <v>303</v>
      </c>
      <c r="Q43" s="150" t="s">
        <v>383</v>
      </c>
      <c r="R43" s="151">
        <v>0</v>
      </c>
      <c r="S43" s="151">
        <v>0</v>
      </c>
      <c r="T43" s="151">
        <v>0</v>
      </c>
      <c r="U43" s="151">
        <v>0.25</v>
      </c>
      <c r="V43" s="151">
        <v>0.75</v>
      </c>
      <c r="W43" s="4">
        <v>7371</v>
      </c>
      <c r="X43" s="86">
        <v>6.5079365079365079</v>
      </c>
      <c r="Y43" s="48">
        <v>28200.880000000001</v>
      </c>
      <c r="Z43" s="48">
        <v>17695.524000000001</v>
      </c>
      <c r="AA43" s="48">
        <v>1291.6599999999999</v>
      </c>
      <c r="AB43" s="48">
        <v>47188.063999999998</v>
      </c>
      <c r="AC43" s="48">
        <f t="shared" si="10"/>
        <v>11797.016</v>
      </c>
      <c r="AD43" s="48">
        <f t="shared" si="11"/>
        <v>11797.016</v>
      </c>
      <c r="AE43" s="48">
        <f t="shared" ref="AE43:AE51" si="13">IF(G43=25%,AB43-AC43-AD43,0)</f>
        <v>23594.031999999996</v>
      </c>
      <c r="AF43" s="49">
        <f t="shared" ref="AF43:AF51" si="14">IF(G43=25%,0,(AB43-AC43-AD43))</f>
        <v>0</v>
      </c>
      <c r="AG43" s="50">
        <f t="shared" si="12"/>
        <v>47188.063999999998</v>
      </c>
      <c r="AH43" s="51">
        <f t="shared" si="8"/>
        <v>0</v>
      </c>
      <c r="AI43" s="51">
        <f t="shared" si="9"/>
        <v>7250.8488585365849</v>
      </c>
    </row>
    <row r="44" spans="1:37" s="24" customFormat="1" ht="15">
      <c r="A44" s="45" t="s">
        <v>40</v>
      </c>
      <c r="B44" s="46" t="s">
        <v>41</v>
      </c>
      <c r="C44" s="47" t="s">
        <v>42</v>
      </c>
      <c r="D44" s="3" t="s">
        <v>43</v>
      </c>
      <c r="E44" s="3" t="s">
        <v>274</v>
      </c>
      <c r="F44" s="4" t="s">
        <v>82</v>
      </c>
      <c r="G44" s="5">
        <v>0.25</v>
      </c>
      <c r="H44" s="7">
        <v>17</v>
      </c>
      <c r="I44" s="7" t="s">
        <v>105</v>
      </c>
      <c r="J44" s="4" t="s">
        <v>127</v>
      </c>
      <c r="K44" s="4" t="s">
        <v>184</v>
      </c>
      <c r="L44" s="4" t="s">
        <v>185</v>
      </c>
      <c r="M44" s="4" t="s">
        <v>173</v>
      </c>
      <c r="N44" s="4" t="s">
        <v>247</v>
      </c>
      <c r="O44" s="150" t="s">
        <v>302</v>
      </c>
      <c r="P44" s="150" t="s">
        <v>378</v>
      </c>
      <c r="Q44" s="150" t="s">
        <v>383</v>
      </c>
      <c r="R44" s="151">
        <v>0</v>
      </c>
      <c r="S44" s="151">
        <v>0</v>
      </c>
      <c r="T44" s="151">
        <v>0</v>
      </c>
      <c r="U44" s="151">
        <v>0.25</v>
      </c>
      <c r="V44" s="151">
        <v>0.75</v>
      </c>
      <c r="W44" s="4">
        <v>4960</v>
      </c>
      <c r="X44" s="86">
        <v>4.9769585253456201</v>
      </c>
      <c r="Y44" s="53">
        <v>12076.2</v>
      </c>
      <c r="Z44" s="53">
        <v>7812.670118764845</v>
      </c>
      <c r="AA44" s="53">
        <v>944.91686460807591</v>
      </c>
      <c r="AB44" s="48">
        <v>20833.78698337292</v>
      </c>
      <c r="AC44" s="48">
        <f t="shared" si="10"/>
        <v>5208.44674584323</v>
      </c>
      <c r="AD44" s="48">
        <f t="shared" si="11"/>
        <v>5208.44674584323</v>
      </c>
      <c r="AE44" s="48">
        <f t="shared" si="13"/>
        <v>10416.89349168646</v>
      </c>
      <c r="AF44" s="49">
        <f t="shared" si="14"/>
        <v>0</v>
      </c>
      <c r="AG44" s="50">
        <f t="shared" si="12"/>
        <v>20833.78698337292</v>
      </c>
      <c r="AH44" s="51">
        <f t="shared" si="8"/>
        <v>0</v>
      </c>
      <c r="AI44" s="51">
        <f t="shared" si="9"/>
        <v>4186.0479401777084</v>
      </c>
    </row>
    <row r="45" spans="1:37" s="24" customFormat="1" ht="15">
      <c r="A45" s="45" t="s">
        <v>40</v>
      </c>
      <c r="B45" s="46" t="s">
        <v>41</v>
      </c>
      <c r="C45" s="47" t="s">
        <v>42</v>
      </c>
      <c r="D45" s="3" t="s">
        <v>43</v>
      </c>
      <c r="E45" s="3" t="s">
        <v>274</v>
      </c>
      <c r="F45" s="4" t="s">
        <v>82</v>
      </c>
      <c r="G45" s="5">
        <v>0.25</v>
      </c>
      <c r="H45" s="7">
        <v>38</v>
      </c>
      <c r="I45" s="7" t="s">
        <v>131</v>
      </c>
      <c r="J45" s="84" t="s">
        <v>127</v>
      </c>
      <c r="K45" s="84" t="s">
        <v>184</v>
      </c>
      <c r="L45" s="84" t="s">
        <v>185</v>
      </c>
      <c r="M45" s="84" t="s">
        <v>173</v>
      </c>
      <c r="N45" s="4" t="s">
        <v>247</v>
      </c>
      <c r="O45" s="150" t="s">
        <v>302</v>
      </c>
      <c r="P45" s="150" t="s">
        <v>378</v>
      </c>
      <c r="Q45" s="150" t="s">
        <v>383</v>
      </c>
      <c r="R45" s="151">
        <v>0</v>
      </c>
      <c r="S45" s="151">
        <v>0</v>
      </c>
      <c r="T45" s="151">
        <v>0</v>
      </c>
      <c r="U45" s="151">
        <v>0.25</v>
      </c>
      <c r="V45" s="151">
        <v>0.75</v>
      </c>
      <c r="W45" s="4">
        <v>11440</v>
      </c>
      <c r="X45" s="86">
        <v>3.5259259259259279</v>
      </c>
      <c r="Y45" s="48">
        <v>25083</v>
      </c>
      <c r="Z45" s="48">
        <v>17023.583999999999</v>
      </c>
      <c r="AA45" s="48">
        <v>3289.64</v>
      </c>
      <c r="AB45" s="48">
        <v>45396.224000000002</v>
      </c>
      <c r="AC45" s="48">
        <f t="shared" si="10"/>
        <v>11349.056</v>
      </c>
      <c r="AD45" s="48">
        <f t="shared" si="11"/>
        <v>11349.056</v>
      </c>
      <c r="AE45" s="48">
        <f t="shared" si="13"/>
        <v>22698.112000000005</v>
      </c>
      <c r="AF45" s="49">
        <f t="shared" si="14"/>
        <v>0</v>
      </c>
      <c r="AG45" s="50">
        <f t="shared" si="12"/>
        <v>45396.224000000002</v>
      </c>
      <c r="AH45" s="51">
        <f t="shared" si="8"/>
        <v>0</v>
      </c>
      <c r="AI45" s="51">
        <f t="shared" si="9"/>
        <v>12874.979495798312</v>
      </c>
    </row>
    <row r="46" spans="1:37" s="24" customFormat="1" ht="15">
      <c r="A46" s="45" t="s">
        <v>28</v>
      </c>
      <c r="B46" s="46" t="s">
        <v>28</v>
      </c>
      <c r="C46" s="47" t="s">
        <v>29</v>
      </c>
      <c r="D46" s="3" t="s">
        <v>30</v>
      </c>
      <c r="E46" s="3" t="s">
        <v>287</v>
      </c>
      <c r="F46" s="4" t="s">
        <v>288</v>
      </c>
      <c r="G46" s="5">
        <v>0.75</v>
      </c>
      <c r="H46" s="7">
        <v>1</v>
      </c>
      <c r="I46" s="7" t="s">
        <v>20</v>
      </c>
      <c r="J46" s="4" t="s">
        <v>37</v>
      </c>
      <c r="K46" s="4" t="s">
        <v>177</v>
      </c>
      <c r="L46" s="4" t="s">
        <v>178</v>
      </c>
      <c r="M46" s="4" t="s">
        <v>179</v>
      </c>
      <c r="N46" s="4" t="s">
        <v>246</v>
      </c>
      <c r="O46" s="150" t="s">
        <v>369</v>
      </c>
      <c r="P46" s="150" t="s">
        <v>370</v>
      </c>
      <c r="Q46" s="150" t="s">
        <v>370</v>
      </c>
      <c r="R46" s="151">
        <v>0</v>
      </c>
      <c r="S46" s="151">
        <v>0</v>
      </c>
      <c r="T46" s="151">
        <v>0</v>
      </c>
      <c r="U46" s="151">
        <v>0.25</v>
      </c>
      <c r="V46" s="151">
        <v>0.75</v>
      </c>
      <c r="W46" s="4">
        <v>8880</v>
      </c>
      <c r="X46" s="86">
        <v>18.829999999999998</v>
      </c>
      <c r="Y46" s="48">
        <v>130610.97000000002</v>
      </c>
      <c r="Z46" s="48">
        <v>26122.194000000007</v>
      </c>
      <c r="AA46" s="48">
        <v>6086.9927963169976</v>
      </c>
      <c r="AB46" s="48">
        <v>162820.15679631702</v>
      </c>
      <c r="AC46" s="48">
        <f t="shared" si="10"/>
        <v>122115.11759723777</v>
      </c>
      <c r="AD46" s="48">
        <f t="shared" si="11"/>
        <v>0</v>
      </c>
      <c r="AE46" s="48">
        <f t="shared" si="13"/>
        <v>0</v>
      </c>
      <c r="AF46" s="49">
        <f t="shared" si="14"/>
        <v>40705.039199079256</v>
      </c>
      <c r="AG46" s="50">
        <f t="shared" si="12"/>
        <v>162820.15679631702</v>
      </c>
      <c r="AH46" s="51">
        <f t="shared" si="8"/>
        <v>0</v>
      </c>
      <c r="AI46" s="51">
        <f t="shared" si="9"/>
        <v>8646.8484756408416</v>
      </c>
    </row>
    <row r="47" spans="1:37" s="34" customFormat="1" ht="15">
      <c r="A47" s="45" t="s">
        <v>28</v>
      </c>
      <c r="B47" s="46" t="s">
        <v>28</v>
      </c>
      <c r="C47" s="47" t="s">
        <v>29</v>
      </c>
      <c r="D47" s="3" t="s">
        <v>30</v>
      </c>
      <c r="E47" s="3" t="s">
        <v>265</v>
      </c>
      <c r="F47" s="4" t="s">
        <v>31</v>
      </c>
      <c r="G47" s="5">
        <v>0.75</v>
      </c>
      <c r="H47" s="7">
        <v>1</v>
      </c>
      <c r="I47" s="7" t="s">
        <v>20</v>
      </c>
      <c r="J47" s="4" t="s">
        <v>32</v>
      </c>
      <c r="K47" s="4" t="s">
        <v>168</v>
      </c>
      <c r="L47" s="4" t="s">
        <v>169</v>
      </c>
      <c r="M47" s="4" t="s">
        <v>169</v>
      </c>
      <c r="N47" s="4" t="s">
        <v>247</v>
      </c>
      <c r="O47" s="150" t="s">
        <v>369</v>
      </c>
      <c r="P47" s="150" t="s">
        <v>370</v>
      </c>
      <c r="Q47" s="150" t="s">
        <v>370</v>
      </c>
      <c r="R47" s="151">
        <v>0</v>
      </c>
      <c r="S47" s="151">
        <v>0</v>
      </c>
      <c r="T47" s="151">
        <v>0</v>
      </c>
      <c r="U47" s="151">
        <v>0.25</v>
      </c>
      <c r="V47" s="151">
        <v>0.75</v>
      </c>
      <c r="W47" s="4">
        <v>8880</v>
      </c>
      <c r="X47" s="86">
        <v>3.1800000000000006</v>
      </c>
      <c r="Y47" s="48">
        <v>37930.880000000005</v>
      </c>
      <c r="Z47" s="48">
        <v>7586.1760000000013</v>
      </c>
      <c r="AA47" s="48">
        <v>578.61038018936642</v>
      </c>
      <c r="AB47" s="48">
        <v>46095.666380189374</v>
      </c>
      <c r="AC47" s="48">
        <f t="shared" si="10"/>
        <v>34571.749785142034</v>
      </c>
      <c r="AD47" s="48">
        <f t="shared" si="11"/>
        <v>0</v>
      </c>
      <c r="AE47" s="48">
        <f t="shared" si="13"/>
        <v>0</v>
      </c>
      <c r="AF47" s="49">
        <f t="shared" si="14"/>
        <v>11523.91659504734</v>
      </c>
      <c r="AG47" s="50">
        <f t="shared" si="12"/>
        <v>46095.666380189374</v>
      </c>
      <c r="AH47" s="51">
        <f t="shared" si="8"/>
        <v>0</v>
      </c>
      <c r="AI47" s="51">
        <f t="shared" si="9"/>
        <v>14495.492572386593</v>
      </c>
      <c r="AJ47" s="24"/>
    </row>
    <row r="48" spans="1:37" s="34" customFormat="1" ht="15">
      <c r="A48" s="45" t="s">
        <v>15</v>
      </c>
      <c r="B48" s="46" t="s">
        <v>22</v>
      </c>
      <c r="C48" s="47" t="s">
        <v>17</v>
      </c>
      <c r="D48" s="3" t="s">
        <v>23</v>
      </c>
      <c r="E48" s="6" t="s">
        <v>263</v>
      </c>
      <c r="F48" s="4" t="s">
        <v>259</v>
      </c>
      <c r="G48" s="5">
        <v>1</v>
      </c>
      <c r="H48" s="7">
        <v>1</v>
      </c>
      <c r="I48" s="7" t="s">
        <v>20</v>
      </c>
      <c r="J48" s="4" t="s">
        <v>25</v>
      </c>
      <c r="K48" s="4" t="s">
        <v>186</v>
      </c>
      <c r="L48" s="4" t="s">
        <v>187</v>
      </c>
      <c r="M48" s="4" t="s">
        <v>176</v>
      </c>
      <c r="N48" s="8" t="s">
        <v>246</v>
      </c>
      <c r="O48" s="150" t="s">
        <v>302</v>
      </c>
      <c r="P48" s="150" t="s">
        <v>187</v>
      </c>
      <c r="Q48" s="150" t="s">
        <v>187</v>
      </c>
      <c r="R48" s="151">
        <v>0</v>
      </c>
      <c r="S48" s="151">
        <v>0</v>
      </c>
      <c r="T48" s="151">
        <v>0</v>
      </c>
      <c r="U48" s="151">
        <v>0.25</v>
      </c>
      <c r="V48" s="151">
        <v>0.75</v>
      </c>
      <c r="W48" s="4">
        <v>8880</v>
      </c>
      <c r="X48" s="86">
        <v>5.04</v>
      </c>
      <c r="Y48" s="48">
        <v>23549.27</v>
      </c>
      <c r="Z48" s="48">
        <v>4709.8540000000003</v>
      </c>
      <c r="AA48" s="48">
        <v>7417.4347611940311</v>
      </c>
      <c r="AB48" s="48">
        <v>35676.558761194035</v>
      </c>
      <c r="AC48" s="48">
        <f t="shared" si="10"/>
        <v>35676.558761194035</v>
      </c>
      <c r="AD48" s="48">
        <f t="shared" si="11"/>
        <v>0</v>
      </c>
      <c r="AE48" s="48">
        <f t="shared" si="13"/>
        <v>0</v>
      </c>
      <c r="AF48" s="49">
        <f t="shared" si="14"/>
        <v>0</v>
      </c>
      <c r="AG48" s="50">
        <f t="shared" si="12"/>
        <v>35676.558761194035</v>
      </c>
      <c r="AH48" s="51">
        <f t="shared" si="8"/>
        <v>0</v>
      </c>
      <c r="AI48" s="51">
        <f t="shared" si="9"/>
        <v>7078.6822938877058</v>
      </c>
      <c r="AJ48" s="24"/>
    </row>
    <row r="49" spans="1:37" s="24" customFormat="1" ht="15">
      <c r="A49" s="45" t="s">
        <v>15</v>
      </c>
      <c r="B49" s="46" t="s">
        <v>16</v>
      </c>
      <c r="C49" s="47" t="s">
        <v>17</v>
      </c>
      <c r="D49" s="3" t="s">
        <v>18</v>
      </c>
      <c r="E49" s="3" t="s">
        <v>261</v>
      </c>
      <c r="F49" s="4" t="s">
        <v>19</v>
      </c>
      <c r="G49" s="5">
        <v>0.75</v>
      </c>
      <c r="H49" s="7">
        <v>1</v>
      </c>
      <c r="I49" s="7" t="s">
        <v>20</v>
      </c>
      <c r="J49" s="4" t="s">
        <v>21</v>
      </c>
      <c r="K49" s="4" t="s">
        <v>168</v>
      </c>
      <c r="L49" s="4" t="s">
        <v>169</v>
      </c>
      <c r="M49" s="4" t="s">
        <v>169</v>
      </c>
      <c r="N49" s="4" t="s">
        <v>246</v>
      </c>
      <c r="O49" s="150" t="s">
        <v>302</v>
      </c>
      <c r="P49" s="150" t="s">
        <v>187</v>
      </c>
      <c r="Q49" s="150" t="s">
        <v>187</v>
      </c>
      <c r="R49" s="151">
        <v>0</v>
      </c>
      <c r="S49" s="151">
        <v>0</v>
      </c>
      <c r="T49" s="151">
        <v>0</v>
      </c>
      <c r="U49" s="151">
        <v>0.25</v>
      </c>
      <c r="V49" s="151">
        <v>0.75</v>
      </c>
      <c r="W49" s="4">
        <v>8880</v>
      </c>
      <c r="X49" s="86">
        <v>38.090000000000003</v>
      </c>
      <c r="Y49" s="48">
        <v>209830.19999999998</v>
      </c>
      <c r="Z49" s="48">
        <v>41966.04</v>
      </c>
      <c r="AA49" s="48">
        <v>4907.3760000000002</v>
      </c>
      <c r="AB49" s="48">
        <v>256703.61599999998</v>
      </c>
      <c r="AC49" s="48">
        <f t="shared" si="10"/>
        <v>192527.712</v>
      </c>
      <c r="AD49" s="48">
        <f t="shared" si="11"/>
        <v>0</v>
      </c>
      <c r="AE49" s="48">
        <f t="shared" si="13"/>
        <v>0</v>
      </c>
      <c r="AF49" s="49">
        <f t="shared" si="14"/>
        <v>64175.90399999998</v>
      </c>
      <c r="AG49" s="50">
        <f t="shared" si="12"/>
        <v>256703.61599999998</v>
      </c>
      <c r="AH49" s="51">
        <f t="shared" si="8"/>
        <v>0</v>
      </c>
      <c r="AI49" s="51">
        <f t="shared" si="9"/>
        <v>6739.3965870307156</v>
      </c>
    </row>
    <row r="50" spans="1:37" s="24" customFormat="1" ht="15">
      <c r="A50" s="45" t="s">
        <v>15</v>
      </c>
      <c r="B50" s="46" t="s">
        <v>16</v>
      </c>
      <c r="C50" s="47" t="s">
        <v>17</v>
      </c>
      <c r="D50" s="3" t="s">
        <v>18</v>
      </c>
      <c r="E50" s="3" t="s">
        <v>264</v>
      </c>
      <c r="F50" s="4" t="s">
        <v>19</v>
      </c>
      <c r="G50" s="5">
        <v>0.75</v>
      </c>
      <c r="H50" s="7">
        <v>1</v>
      </c>
      <c r="I50" s="7" t="s">
        <v>20</v>
      </c>
      <c r="J50" s="4" t="s">
        <v>21</v>
      </c>
      <c r="K50" s="4" t="s">
        <v>168</v>
      </c>
      <c r="L50" s="4" t="s">
        <v>169</v>
      </c>
      <c r="M50" s="4" t="s">
        <v>169</v>
      </c>
      <c r="N50" s="4" t="s">
        <v>246</v>
      </c>
      <c r="O50" s="150" t="s">
        <v>302</v>
      </c>
      <c r="P50" s="150" t="s">
        <v>187</v>
      </c>
      <c r="Q50" s="150" t="s">
        <v>187</v>
      </c>
      <c r="R50" s="151">
        <v>0</v>
      </c>
      <c r="S50" s="151">
        <v>0</v>
      </c>
      <c r="T50" s="151">
        <v>0</v>
      </c>
      <c r="U50" s="151">
        <v>0.25</v>
      </c>
      <c r="V50" s="151">
        <v>0.75</v>
      </c>
      <c r="W50" s="4">
        <v>8880</v>
      </c>
      <c r="X50" s="86">
        <v>24.87</v>
      </c>
      <c r="Y50" s="48">
        <v>156904.09</v>
      </c>
      <c r="Z50" s="48">
        <v>31380.817999999999</v>
      </c>
      <c r="AA50" s="48">
        <v>36601.5084347015</v>
      </c>
      <c r="AB50" s="48">
        <v>224886.4164347015</v>
      </c>
      <c r="AC50" s="48">
        <f t="shared" si="10"/>
        <v>168664.81232602612</v>
      </c>
      <c r="AD50" s="48">
        <f t="shared" si="11"/>
        <v>0</v>
      </c>
      <c r="AE50" s="48">
        <f t="shared" si="13"/>
        <v>0</v>
      </c>
      <c r="AF50" s="49">
        <f t="shared" si="14"/>
        <v>56221.604108675383</v>
      </c>
      <c r="AG50" s="50">
        <f t="shared" si="12"/>
        <v>224886.4164347015</v>
      </c>
      <c r="AH50" s="51">
        <f t="shared" si="8"/>
        <v>0</v>
      </c>
      <c r="AI50" s="51">
        <f t="shared" si="9"/>
        <v>9042.477540599175</v>
      </c>
    </row>
    <row r="51" spans="1:37" s="24" customFormat="1" ht="15">
      <c r="A51" s="45" t="s">
        <v>40</v>
      </c>
      <c r="B51" s="46" t="s">
        <v>61</v>
      </c>
      <c r="C51" s="47" t="s">
        <v>42</v>
      </c>
      <c r="D51" s="3" t="s">
        <v>62</v>
      </c>
      <c r="E51" s="3" t="s">
        <v>63</v>
      </c>
      <c r="F51" s="4" t="s">
        <v>63</v>
      </c>
      <c r="G51" s="5">
        <v>0.25</v>
      </c>
      <c r="H51" s="7">
        <v>35</v>
      </c>
      <c r="I51" s="7" t="s">
        <v>125</v>
      </c>
      <c r="J51" s="4" t="s">
        <v>106</v>
      </c>
      <c r="K51" s="4" t="s">
        <v>193</v>
      </c>
      <c r="L51" s="4" t="s">
        <v>193</v>
      </c>
      <c r="M51" s="4" t="s">
        <v>191</v>
      </c>
      <c r="N51" s="4" t="s">
        <v>247</v>
      </c>
      <c r="O51" s="150" t="s">
        <v>216</v>
      </c>
      <c r="P51" s="150" t="s">
        <v>301</v>
      </c>
      <c r="Q51" s="150" t="s">
        <v>193</v>
      </c>
      <c r="R51" s="151">
        <v>0</v>
      </c>
      <c r="S51" s="151">
        <v>0.65</v>
      </c>
      <c r="T51" s="151">
        <v>0.35</v>
      </c>
      <c r="U51" s="151">
        <v>0</v>
      </c>
      <c r="V51" s="151">
        <v>0</v>
      </c>
      <c r="W51" s="4">
        <v>14400</v>
      </c>
      <c r="X51" s="86">
        <v>5.9851851851851849</v>
      </c>
      <c r="Y51" s="48">
        <v>76602.811094363235</v>
      </c>
      <c r="Z51" s="48">
        <v>46772.919806892533</v>
      </c>
      <c r="AA51" s="48">
        <v>1352.0552504576467</v>
      </c>
      <c r="AB51" s="48">
        <v>124727.78615171342</v>
      </c>
      <c r="AC51" s="48">
        <f t="shared" si="10"/>
        <v>31181.946537928354</v>
      </c>
      <c r="AD51" s="48">
        <f t="shared" si="11"/>
        <v>31181.946537928354</v>
      </c>
      <c r="AE51" s="48">
        <f t="shared" si="13"/>
        <v>62363.893075856715</v>
      </c>
      <c r="AF51" s="49">
        <f t="shared" si="14"/>
        <v>0</v>
      </c>
      <c r="AG51" s="50">
        <f t="shared" si="12"/>
        <v>124727.78615171343</v>
      </c>
      <c r="AH51" s="51">
        <f t="shared" si="8"/>
        <v>0</v>
      </c>
      <c r="AI51" s="51">
        <f t="shared" si="9"/>
        <v>20839.419715942218</v>
      </c>
    </row>
    <row r="52" spans="1:37" s="24" customFormat="1" ht="15">
      <c r="A52" s="45" t="s">
        <v>40</v>
      </c>
      <c r="B52" s="46" t="s">
        <v>66</v>
      </c>
      <c r="C52" s="47" t="s">
        <v>67</v>
      </c>
      <c r="D52" s="3" t="s">
        <v>68</v>
      </c>
      <c r="E52" s="3" t="s">
        <v>76</v>
      </c>
      <c r="F52" s="4" t="s">
        <v>76</v>
      </c>
      <c r="G52" s="5">
        <v>0.4</v>
      </c>
      <c r="H52" s="7">
        <v>35</v>
      </c>
      <c r="I52" s="7" t="s">
        <v>125</v>
      </c>
      <c r="J52" s="4" t="s">
        <v>107</v>
      </c>
      <c r="K52" s="4" t="s">
        <v>193</v>
      </c>
      <c r="L52" s="4" t="s">
        <v>193</v>
      </c>
      <c r="M52" s="8" t="s">
        <v>224</v>
      </c>
      <c r="N52" s="4" t="s">
        <v>246</v>
      </c>
      <c r="O52" s="150" t="s">
        <v>216</v>
      </c>
      <c r="P52" s="150" t="s">
        <v>301</v>
      </c>
      <c r="Q52" s="150" t="s">
        <v>193</v>
      </c>
      <c r="R52" s="151">
        <v>0</v>
      </c>
      <c r="S52" s="151">
        <v>0.65</v>
      </c>
      <c r="T52" s="151">
        <v>0.35</v>
      </c>
      <c r="U52" s="151">
        <v>0</v>
      </c>
      <c r="V52" s="151">
        <v>0</v>
      </c>
      <c r="W52" s="4">
        <v>14400</v>
      </c>
      <c r="X52" s="86"/>
      <c r="Y52" s="48"/>
      <c r="Z52" s="48"/>
      <c r="AA52" s="48"/>
      <c r="AB52" s="48"/>
      <c r="AC52" s="48">
        <f t="shared" si="10"/>
        <v>0</v>
      </c>
      <c r="AD52" s="48">
        <f t="shared" si="11"/>
        <v>0</v>
      </c>
      <c r="AE52" s="48">
        <f>IF(G52=25%,AB52-AC52-AD52,0)+IF(G52=40%,AB52-AC52-AD52,0)</f>
        <v>0</v>
      </c>
      <c r="AF52" s="49">
        <v>0</v>
      </c>
      <c r="AG52" s="50">
        <f t="shared" si="12"/>
        <v>0</v>
      </c>
      <c r="AH52" s="51">
        <f t="shared" ref="AH52:AH71" si="15">+AG52-AB52</f>
        <v>0</v>
      </c>
      <c r="AI52" s="51" t="e">
        <f t="shared" ref="AI52:AI71" si="16">+AB52/X52</f>
        <v>#DIV/0!</v>
      </c>
    </row>
    <row r="53" spans="1:37" s="24" customFormat="1" ht="15">
      <c r="A53" s="45" t="s">
        <v>40</v>
      </c>
      <c r="B53" s="46" t="s">
        <v>55</v>
      </c>
      <c r="C53" s="47" t="s">
        <v>42</v>
      </c>
      <c r="D53" s="3" t="s">
        <v>43</v>
      </c>
      <c r="E53" s="3" t="s">
        <v>277</v>
      </c>
      <c r="F53" s="4" t="s">
        <v>85</v>
      </c>
      <c r="G53" s="5">
        <v>0.25</v>
      </c>
      <c r="H53" s="7">
        <v>35</v>
      </c>
      <c r="I53" s="7" t="s">
        <v>125</v>
      </c>
      <c r="J53" s="4" t="s">
        <v>126</v>
      </c>
      <c r="K53" s="4" t="s">
        <v>210</v>
      </c>
      <c r="L53" s="4" t="s">
        <v>193</v>
      </c>
      <c r="M53" s="4" t="s">
        <v>191</v>
      </c>
      <c r="N53" s="4" t="s">
        <v>247</v>
      </c>
      <c r="O53" s="150" t="s">
        <v>216</v>
      </c>
      <c r="P53" s="150" t="s">
        <v>301</v>
      </c>
      <c r="Q53" s="150" t="s">
        <v>193</v>
      </c>
      <c r="R53" s="151">
        <v>1</v>
      </c>
      <c r="S53" s="151">
        <v>0</v>
      </c>
      <c r="T53" s="151">
        <v>0</v>
      </c>
      <c r="U53" s="151">
        <v>0</v>
      </c>
      <c r="V53" s="151">
        <v>0</v>
      </c>
      <c r="W53" s="4">
        <v>14400</v>
      </c>
      <c r="X53" s="86">
        <v>18.074074074074076</v>
      </c>
      <c r="Y53" s="48">
        <v>230622.83727693133</v>
      </c>
      <c r="Z53" s="48">
        <v>140296.14339211985</v>
      </c>
      <c r="AA53" s="48">
        <v>3204.0683766017642</v>
      </c>
      <c r="AB53" s="48">
        <v>374123.04904565291</v>
      </c>
      <c r="AC53" s="48">
        <f t="shared" si="10"/>
        <v>93530.762261413227</v>
      </c>
      <c r="AD53" s="48">
        <f t="shared" si="11"/>
        <v>93530.762261413227</v>
      </c>
      <c r="AE53" s="48">
        <f>IF(G53=25%,AB53-AC53-AD53,0)</f>
        <v>187061.52452282648</v>
      </c>
      <c r="AF53" s="49">
        <f>IF(G53=25%,0,(AB53-AC53-AD53))</f>
        <v>0</v>
      </c>
      <c r="AG53" s="50">
        <f t="shared" si="12"/>
        <v>374123.04904565297</v>
      </c>
      <c r="AH53" s="51">
        <f t="shared" si="15"/>
        <v>0</v>
      </c>
      <c r="AI53" s="51">
        <f t="shared" si="16"/>
        <v>20699.430992279973</v>
      </c>
      <c r="AK53" s="34"/>
    </row>
    <row r="54" spans="1:37" s="34" customFormat="1" ht="18" customHeight="1">
      <c r="A54" s="45" t="s">
        <v>40</v>
      </c>
      <c r="B54" s="46" t="s">
        <v>61</v>
      </c>
      <c r="C54" s="47" t="s">
        <v>42</v>
      </c>
      <c r="D54" s="3" t="s">
        <v>62</v>
      </c>
      <c r="E54" s="3" t="s">
        <v>63</v>
      </c>
      <c r="F54" s="4" t="s">
        <v>63</v>
      </c>
      <c r="G54" s="5">
        <v>0.25</v>
      </c>
      <c r="H54" s="7">
        <v>17</v>
      </c>
      <c r="I54" s="7" t="s">
        <v>105</v>
      </c>
      <c r="J54" s="4" t="s">
        <v>106</v>
      </c>
      <c r="K54" s="4" t="s">
        <v>193</v>
      </c>
      <c r="L54" s="4" t="s">
        <v>193</v>
      </c>
      <c r="M54" s="4" t="s">
        <v>191</v>
      </c>
      <c r="N54" s="4" t="s">
        <v>247</v>
      </c>
      <c r="O54" s="150" t="s">
        <v>216</v>
      </c>
      <c r="P54" s="150" t="s">
        <v>301</v>
      </c>
      <c r="Q54" s="150" t="s">
        <v>193</v>
      </c>
      <c r="R54" s="151">
        <v>0</v>
      </c>
      <c r="S54" s="151">
        <v>0.65</v>
      </c>
      <c r="T54" s="151">
        <v>0.35</v>
      </c>
      <c r="U54" s="151">
        <v>0</v>
      </c>
      <c r="V54" s="151">
        <v>0</v>
      </c>
      <c r="W54" s="4">
        <v>4960</v>
      </c>
      <c r="X54" s="86">
        <v>3.4700460829493145</v>
      </c>
      <c r="Y54" s="48">
        <v>9468.7800000000007</v>
      </c>
      <c r="Z54" s="48">
        <v>6560.786343433032</v>
      </c>
      <c r="AA54" s="48">
        <v>1465.8639057217188</v>
      </c>
      <c r="AB54" s="48">
        <v>17495.43024915475</v>
      </c>
      <c r="AC54" s="48">
        <f t="shared" si="10"/>
        <v>4373.8575622886874</v>
      </c>
      <c r="AD54" s="48">
        <f t="shared" si="11"/>
        <v>4373.8575622886874</v>
      </c>
      <c r="AE54" s="48">
        <f>IF(G54=25%,AB54-AC54-AD54,0)</f>
        <v>8747.7151245773748</v>
      </c>
      <c r="AF54" s="49">
        <f>IF(G54=25%,0,(AB54-AC54-AD54))</f>
        <v>0</v>
      </c>
      <c r="AG54" s="50">
        <f t="shared" si="12"/>
        <v>17495.43024915475</v>
      </c>
      <c r="AH54" s="51">
        <f t="shared" si="15"/>
        <v>0</v>
      </c>
      <c r="AI54" s="51">
        <f t="shared" si="16"/>
        <v>5041.8437769808424</v>
      </c>
      <c r="AJ54" s="24"/>
      <c r="AK54" s="24"/>
    </row>
    <row r="55" spans="1:37" s="34" customFormat="1" ht="15">
      <c r="A55" s="45" t="s">
        <v>40</v>
      </c>
      <c r="B55" s="46" t="s">
        <v>66</v>
      </c>
      <c r="C55" s="47" t="s">
        <v>67</v>
      </c>
      <c r="D55" s="3" t="s">
        <v>68</v>
      </c>
      <c r="E55" s="3" t="s">
        <v>76</v>
      </c>
      <c r="F55" s="4" t="s">
        <v>76</v>
      </c>
      <c r="G55" s="5">
        <v>0.4</v>
      </c>
      <c r="H55" s="7">
        <v>17</v>
      </c>
      <c r="I55" s="7" t="s">
        <v>105</v>
      </c>
      <c r="J55" s="4" t="s">
        <v>107</v>
      </c>
      <c r="K55" s="4" t="s">
        <v>193</v>
      </c>
      <c r="L55" s="4" t="s">
        <v>193</v>
      </c>
      <c r="M55" s="8" t="s">
        <v>224</v>
      </c>
      <c r="N55" s="8" t="s">
        <v>246</v>
      </c>
      <c r="O55" s="150" t="s">
        <v>216</v>
      </c>
      <c r="P55" s="150" t="s">
        <v>301</v>
      </c>
      <c r="Q55" s="150" t="s">
        <v>193</v>
      </c>
      <c r="R55" s="151">
        <v>0</v>
      </c>
      <c r="S55" s="151">
        <v>0.65</v>
      </c>
      <c r="T55" s="151">
        <v>0.35</v>
      </c>
      <c r="U55" s="151">
        <v>0</v>
      </c>
      <c r="V55" s="151">
        <v>0</v>
      </c>
      <c r="W55" s="4">
        <v>4960</v>
      </c>
      <c r="X55" s="86"/>
      <c r="Y55" s="48"/>
      <c r="Z55" s="48"/>
      <c r="AA55" s="48"/>
      <c r="AB55" s="48"/>
      <c r="AC55" s="48">
        <f t="shared" si="10"/>
        <v>0</v>
      </c>
      <c r="AD55" s="48">
        <f t="shared" si="11"/>
        <v>0</v>
      </c>
      <c r="AE55" s="48">
        <f>IF(G55=25%,AB55-AC55-AD55,0)+IF(G55=40%,AB55-AC55-AD55,0)</f>
        <v>0</v>
      </c>
      <c r="AF55" s="49">
        <v>0</v>
      </c>
      <c r="AG55" s="50">
        <f t="shared" si="12"/>
        <v>0</v>
      </c>
      <c r="AH55" s="51">
        <f t="shared" si="15"/>
        <v>0</v>
      </c>
      <c r="AI55" s="51" t="e">
        <f t="shared" si="16"/>
        <v>#DIV/0!</v>
      </c>
      <c r="AJ55" s="24"/>
      <c r="AK55" s="24"/>
    </row>
    <row r="56" spans="1:37" s="24" customFormat="1" ht="15">
      <c r="A56" s="45" t="s">
        <v>46</v>
      </c>
      <c r="B56" s="46" t="s">
        <v>46</v>
      </c>
      <c r="C56" s="47" t="s">
        <v>42</v>
      </c>
      <c r="D56" s="3" t="s">
        <v>47</v>
      </c>
      <c r="E56" s="3" t="s">
        <v>53</v>
      </c>
      <c r="F56" s="4" t="s">
        <v>53</v>
      </c>
      <c r="G56" s="5">
        <v>0.25</v>
      </c>
      <c r="H56" s="7">
        <v>9</v>
      </c>
      <c r="I56" s="7" t="s">
        <v>51</v>
      </c>
      <c r="J56" s="4" t="s">
        <v>54</v>
      </c>
      <c r="K56" s="4" t="s">
        <v>218</v>
      </c>
      <c r="L56" s="4" t="s">
        <v>182</v>
      </c>
      <c r="M56" s="4" t="s">
        <v>167</v>
      </c>
      <c r="N56" s="4" t="s">
        <v>247</v>
      </c>
      <c r="O56" s="150" t="s">
        <v>365</v>
      </c>
      <c r="P56" s="150" t="s">
        <v>366</v>
      </c>
      <c r="Q56" s="150" t="s">
        <v>389</v>
      </c>
      <c r="R56" s="151">
        <v>0</v>
      </c>
      <c r="S56" s="151">
        <v>0</v>
      </c>
      <c r="T56" s="151">
        <v>0</v>
      </c>
      <c r="U56" s="151">
        <v>0.25</v>
      </c>
      <c r="V56" s="151">
        <v>0.75</v>
      </c>
      <c r="W56" s="4">
        <v>6580</v>
      </c>
      <c r="X56" s="86">
        <v>11.500000000000002</v>
      </c>
      <c r="Y56" s="48">
        <v>45241.890000000007</v>
      </c>
      <c r="Z56" s="48">
        <v>30424.86</v>
      </c>
      <c r="AA56" s="48">
        <v>5466.2099999999991</v>
      </c>
      <c r="AB56" s="48">
        <v>81132.959999999992</v>
      </c>
      <c r="AC56" s="48">
        <f t="shared" si="10"/>
        <v>20283.239999999998</v>
      </c>
      <c r="AD56" s="48">
        <f t="shared" si="11"/>
        <v>20283.239999999998</v>
      </c>
      <c r="AE56" s="48">
        <f t="shared" ref="AE56:AE71" si="17">IF(G56=25%,AB56-AC56-AD56,0)</f>
        <v>40566.479999999996</v>
      </c>
      <c r="AF56" s="49">
        <f t="shared" ref="AF56:AF71" si="18">IF(G56=25%,0,(AB56-AC56-AD56))</f>
        <v>0</v>
      </c>
      <c r="AG56" s="50">
        <f t="shared" si="12"/>
        <v>81132.959999999992</v>
      </c>
      <c r="AH56" s="51">
        <f t="shared" si="15"/>
        <v>0</v>
      </c>
      <c r="AI56" s="51">
        <f t="shared" si="16"/>
        <v>7055.0399999999981</v>
      </c>
    </row>
    <row r="57" spans="1:37" s="24" customFormat="1" ht="15">
      <c r="A57" s="45" t="s">
        <v>46</v>
      </c>
      <c r="B57" s="46" t="s">
        <v>46</v>
      </c>
      <c r="C57" s="47" t="s">
        <v>42</v>
      </c>
      <c r="D57" s="3" t="s">
        <v>47</v>
      </c>
      <c r="E57" s="3" t="s">
        <v>53</v>
      </c>
      <c r="F57" s="4" t="s">
        <v>53</v>
      </c>
      <c r="G57" s="5">
        <v>0.25</v>
      </c>
      <c r="H57" s="7">
        <v>21</v>
      </c>
      <c r="I57" s="7" t="s">
        <v>108</v>
      </c>
      <c r="J57" s="4" t="s">
        <v>54</v>
      </c>
      <c r="K57" s="4" t="s">
        <v>218</v>
      </c>
      <c r="L57" s="4" t="s">
        <v>182</v>
      </c>
      <c r="M57" s="4" t="s">
        <v>167</v>
      </c>
      <c r="N57" s="4" t="s">
        <v>247</v>
      </c>
      <c r="O57" s="150" t="s">
        <v>365</v>
      </c>
      <c r="P57" s="150" t="s">
        <v>366</v>
      </c>
      <c r="Q57" s="150" t="s">
        <v>389</v>
      </c>
      <c r="R57" s="151">
        <v>0</v>
      </c>
      <c r="S57" s="151">
        <v>0</v>
      </c>
      <c r="T57" s="151">
        <v>0</v>
      </c>
      <c r="U57" s="151">
        <v>0.25</v>
      </c>
      <c r="V57" s="151">
        <v>0.75</v>
      </c>
      <c r="W57" s="4">
        <v>7371</v>
      </c>
      <c r="X57" s="86">
        <v>13.992063492063492</v>
      </c>
      <c r="Y57" s="48">
        <v>55639.479999999996</v>
      </c>
      <c r="Z57" s="48">
        <v>33808.332000000002</v>
      </c>
      <c r="AA57" s="48">
        <v>707.74</v>
      </c>
      <c r="AB57" s="48">
        <v>90155.551999999981</v>
      </c>
      <c r="AC57" s="48">
        <f t="shared" si="10"/>
        <v>22538.887999999995</v>
      </c>
      <c r="AD57" s="48">
        <f t="shared" si="11"/>
        <v>22538.887999999995</v>
      </c>
      <c r="AE57" s="48">
        <f t="shared" si="17"/>
        <v>45077.775999999998</v>
      </c>
      <c r="AF57" s="49">
        <f t="shared" si="18"/>
        <v>0</v>
      </c>
      <c r="AG57" s="50">
        <f t="shared" si="12"/>
        <v>90155.551999999996</v>
      </c>
      <c r="AH57" s="51">
        <f t="shared" si="15"/>
        <v>0</v>
      </c>
      <c r="AI57" s="51">
        <f t="shared" si="16"/>
        <v>6443.3349699376049</v>
      </c>
    </row>
    <row r="58" spans="1:37" s="24" customFormat="1" ht="15">
      <c r="A58" s="45" t="s">
        <v>46</v>
      </c>
      <c r="B58" s="46" t="s">
        <v>46</v>
      </c>
      <c r="C58" s="47" t="s">
        <v>42</v>
      </c>
      <c r="D58" s="3" t="s">
        <v>47</v>
      </c>
      <c r="E58" s="3" t="s">
        <v>53</v>
      </c>
      <c r="F58" s="4" t="s">
        <v>53</v>
      </c>
      <c r="G58" s="5">
        <v>0.25</v>
      </c>
      <c r="H58" s="7">
        <v>10</v>
      </c>
      <c r="I58" s="7" t="s">
        <v>65</v>
      </c>
      <c r="J58" s="4" t="s">
        <v>54</v>
      </c>
      <c r="K58" s="4" t="s">
        <v>218</v>
      </c>
      <c r="L58" s="4" t="s">
        <v>182</v>
      </c>
      <c r="M58" s="4" t="s">
        <v>167</v>
      </c>
      <c r="N58" s="4" t="s">
        <v>247</v>
      </c>
      <c r="O58" s="150" t="s">
        <v>365</v>
      </c>
      <c r="P58" s="150" t="s">
        <v>366</v>
      </c>
      <c r="Q58" s="150" t="s">
        <v>389</v>
      </c>
      <c r="R58" s="151">
        <v>0</v>
      </c>
      <c r="S58" s="151">
        <v>0</v>
      </c>
      <c r="T58" s="151">
        <v>0</v>
      </c>
      <c r="U58" s="151">
        <v>0.25</v>
      </c>
      <c r="V58" s="151">
        <v>0.75</v>
      </c>
      <c r="W58" s="4">
        <v>8895</v>
      </c>
      <c r="X58" s="86">
        <v>5.8</v>
      </c>
      <c r="Y58" s="48">
        <v>38177.705900000001</v>
      </c>
      <c r="Z58" s="48">
        <v>16599.666525319997</v>
      </c>
      <c r="AA58" s="48">
        <v>1861.66</v>
      </c>
      <c r="AB58" s="48">
        <v>56639.032425320001</v>
      </c>
      <c r="AC58" s="48">
        <f t="shared" si="10"/>
        <v>14159.75810633</v>
      </c>
      <c r="AD58" s="48">
        <f t="shared" si="11"/>
        <v>14159.75810633</v>
      </c>
      <c r="AE58" s="48">
        <f t="shared" si="17"/>
        <v>28319.516212659997</v>
      </c>
      <c r="AF58" s="49">
        <f t="shared" si="18"/>
        <v>0</v>
      </c>
      <c r="AG58" s="50">
        <f t="shared" si="12"/>
        <v>56639.032425319994</v>
      </c>
      <c r="AH58" s="51">
        <f t="shared" si="15"/>
        <v>0</v>
      </c>
      <c r="AI58" s="51">
        <f t="shared" si="16"/>
        <v>9765.3504181586213</v>
      </c>
    </row>
    <row r="59" spans="1:37" s="34" customFormat="1" ht="15">
      <c r="A59" s="45" t="s">
        <v>46</v>
      </c>
      <c r="B59" s="46" t="s">
        <v>46</v>
      </c>
      <c r="C59" s="47" t="s">
        <v>42</v>
      </c>
      <c r="D59" s="3" t="s">
        <v>47</v>
      </c>
      <c r="E59" s="3" t="s">
        <v>53</v>
      </c>
      <c r="F59" s="4" t="s">
        <v>53</v>
      </c>
      <c r="G59" s="5">
        <v>0.25</v>
      </c>
      <c r="H59" s="7">
        <v>38</v>
      </c>
      <c r="I59" s="7" t="s">
        <v>132</v>
      </c>
      <c r="J59" s="4" t="s">
        <v>54</v>
      </c>
      <c r="K59" s="4" t="s">
        <v>218</v>
      </c>
      <c r="L59" s="4" t="s">
        <v>182</v>
      </c>
      <c r="M59" s="4" t="s">
        <v>167</v>
      </c>
      <c r="N59" s="4" t="s">
        <v>247</v>
      </c>
      <c r="O59" s="150" t="s">
        <v>365</v>
      </c>
      <c r="P59" s="150" t="s">
        <v>366</v>
      </c>
      <c r="Q59" s="150" t="s">
        <v>389</v>
      </c>
      <c r="R59" s="151">
        <v>0</v>
      </c>
      <c r="S59" s="151">
        <v>0</v>
      </c>
      <c r="T59" s="151">
        <v>0</v>
      </c>
      <c r="U59" s="151">
        <v>0.25</v>
      </c>
      <c r="V59" s="151">
        <v>0.75</v>
      </c>
      <c r="W59" s="4">
        <v>11440</v>
      </c>
      <c r="X59" s="86">
        <v>5.4518518518518491</v>
      </c>
      <c r="Y59" s="48">
        <v>32745.86</v>
      </c>
      <c r="Z59" s="48">
        <v>19647.516</v>
      </c>
      <c r="AA59" s="48"/>
      <c r="AB59" s="48">
        <v>52393.376000000004</v>
      </c>
      <c r="AC59" s="48">
        <f t="shared" si="10"/>
        <v>13098.344000000001</v>
      </c>
      <c r="AD59" s="48">
        <f t="shared" si="11"/>
        <v>13098.344000000001</v>
      </c>
      <c r="AE59" s="48">
        <f t="shared" si="17"/>
        <v>26196.688000000006</v>
      </c>
      <c r="AF59" s="49">
        <f t="shared" si="18"/>
        <v>0</v>
      </c>
      <c r="AG59" s="50">
        <f t="shared" si="12"/>
        <v>52393.376000000004</v>
      </c>
      <c r="AH59" s="51">
        <f t="shared" si="15"/>
        <v>0</v>
      </c>
      <c r="AI59" s="51">
        <f t="shared" si="16"/>
        <v>9610.1980434782672</v>
      </c>
      <c r="AJ59" s="24"/>
      <c r="AK59" s="24"/>
    </row>
    <row r="60" spans="1:37" s="24" customFormat="1" ht="15">
      <c r="A60" s="45" t="s">
        <v>40</v>
      </c>
      <c r="B60" s="46" t="s">
        <v>41</v>
      </c>
      <c r="C60" s="47" t="s">
        <v>42</v>
      </c>
      <c r="D60" s="3" t="s">
        <v>43</v>
      </c>
      <c r="E60" s="3" t="s">
        <v>273</v>
      </c>
      <c r="F60" s="4" t="s">
        <v>114</v>
      </c>
      <c r="G60" s="5">
        <v>0.25</v>
      </c>
      <c r="H60" s="7">
        <v>26</v>
      </c>
      <c r="I60" s="7" t="s">
        <v>113</v>
      </c>
      <c r="J60" s="4" t="s">
        <v>115</v>
      </c>
      <c r="K60" s="4" t="s">
        <v>203</v>
      </c>
      <c r="L60" s="4" t="s">
        <v>204</v>
      </c>
      <c r="M60" s="4" t="s">
        <v>173</v>
      </c>
      <c r="N60" s="4" t="s">
        <v>247</v>
      </c>
      <c r="O60" s="150" t="s">
        <v>302</v>
      </c>
      <c r="P60" s="150" t="s">
        <v>379</v>
      </c>
      <c r="Q60" s="150" t="s">
        <v>380</v>
      </c>
      <c r="R60" s="151">
        <v>0</v>
      </c>
      <c r="S60" s="151">
        <v>0</v>
      </c>
      <c r="T60" s="151">
        <v>0</v>
      </c>
      <c r="U60" s="151">
        <v>0.25</v>
      </c>
      <c r="V60" s="151">
        <v>0.75</v>
      </c>
      <c r="W60" s="4">
        <v>10240</v>
      </c>
      <c r="X60" s="86">
        <v>4.2976074401860043</v>
      </c>
      <c r="Y60" s="48">
        <v>33389.279999999999</v>
      </c>
      <c r="Z60" s="48">
        <v>29871.360000000001</v>
      </c>
      <c r="AA60" s="48">
        <v>16396.32</v>
      </c>
      <c r="AB60" s="48">
        <v>79656.959999999992</v>
      </c>
      <c r="AC60" s="48">
        <f t="shared" si="10"/>
        <v>19914.239999999998</v>
      </c>
      <c r="AD60" s="48">
        <f t="shared" si="11"/>
        <v>19914.239999999998</v>
      </c>
      <c r="AE60" s="48">
        <f t="shared" si="17"/>
        <v>39828.479999999996</v>
      </c>
      <c r="AF60" s="49">
        <f t="shared" si="18"/>
        <v>0</v>
      </c>
      <c r="AG60" s="50">
        <f t="shared" si="12"/>
        <v>79656.959999999992</v>
      </c>
      <c r="AH60" s="51">
        <f t="shared" si="15"/>
        <v>0</v>
      </c>
      <c r="AI60" s="51">
        <f t="shared" si="16"/>
        <v>18535.187568586389</v>
      </c>
      <c r="AJ60" s="34"/>
    </row>
    <row r="61" spans="1:37" s="24" customFormat="1" ht="15" customHeight="1">
      <c r="A61" s="58" t="s">
        <v>40</v>
      </c>
      <c r="B61" s="46" t="s">
        <v>41</v>
      </c>
      <c r="C61" s="47" t="s">
        <v>42</v>
      </c>
      <c r="D61" s="3" t="s">
        <v>43</v>
      </c>
      <c r="E61" s="3" t="s">
        <v>273</v>
      </c>
      <c r="F61" s="4" t="s">
        <v>114</v>
      </c>
      <c r="G61" s="5">
        <v>0.25</v>
      </c>
      <c r="H61" s="7">
        <v>34</v>
      </c>
      <c r="I61" s="7" t="s">
        <v>120</v>
      </c>
      <c r="J61" s="4" t="s">
        <v>115</v>
      </c>
      <c r="K61" s="4" t="s">
        <v>203</v>
      </c>
      <c r="L61" s="4" t="s">
        <v>204</v>
      </c>
      <c r="M61" s="4" t="s">
        <v>173</v>
      </c>
      <c r="N61" s="4" t="s">
        <v>247</v>
      </c>
      <c r="O61" s="150" t="s">
        <v>302</v>
      </c>
      <c r="P61" s="150" t="s">
        <v>379</v>
      </c>
      <c r="Q61" s="150" t="s">
        <v>381</v>
      </c>
      <c r="R61" s="151">
        <v>0</v>
      </c>
      <c r="S61" s="151">
        <v>0</v>
      </c>
      <c r="T61" s="151">
        <v>0</v>
      </c>
      <c r="U61" s="151">
        <v>0.25</v>
      </c>
      <c r="V61" s="151">
        <v>0.75</v>
      </c>
      <c r="W61" s="4">
        <v>10270</v>
      </c>
      <c r="X61" s="86">
        <v>11.609302325581394</v>
      </c>
      <c r="Y61" s="48">
        <v>17930.43</v>
      </c>
      <c r="Z61" s="52">
        <v>18826.951500000003</v>
      </c>
      <c r="AA61" s="48">
        <v>4691.1399999999994</v>
      </c>
      <c r="AB61" s="48">
        <v>41448.521500000003</v>
      </c>
      <c r="AC61" s="48">
        <f t="shared" si="10"/>
        <v>10362.130375000001</v>
      </c>
      <c r="AD61" s="48">
        <f t="shared" si="11"/>
        <v>10362.130375000001</v>
      </c>
      <c r="AE61" s="48">
        <f t="shared" si="17"/>
        <v>20724.260750000001</v>
      </c>
      <c r="AF61" s="49">
        <f t="shared" si="18"/>
        <v>0</v>
      </c>
      <c r="AG61" s="50">
        <f t="shared" si="12"/>
        <v>41448.521500000003</v>
      </c>
      <c r="AH61" s="51">
        <f t="shared" si="15"/>
        <v>0</v>
      </c>
      <c r="AI61" s="51">
        <f t="shared" si="16"/>
        <v>3570.2853054887828</v>
      </c>
    </row>
    <row r="62" spans="1:37" s="24" customFormat="1" ht="15" customHeight="1">
      <c r="A62" s="58" t="s">
        <v>40</v>
      </c>
      <c r="B62" s="46" t="s">
        <v>55</v>
      </c>
      <c r="C62" s="47" t="s">
        <v>42</v>
      </c>
      <c r="D62" s="3" t="s">
        <v>43</v>
      </c>
      <c r="E62" s="3" t="s">
        <v>276</v>
      </c>
      <c r="F62" s="4" t="s">
        <v>86</v>
      </c>
      <c r="G62" s="5">
        <v>0.25</v>
      </c>
      <c r="H62" s="7">
        <v>16</v>
      </c>
      <c r="I62" s="7" t="s">
        <v>96</v>
      </c>
      <c r="J62" s="4" t="s">
        <v>214</v>
      </c>
      <c r="K62" s="4" t="s">
        <v>213</v>
      </c>
      <c r="L62" s="4" t="s">
        <v>188</v>
      </c>
      <c r="M62" s="4" t="s">
        <v>173</v>
      </c>
      <c r="N62" s="4" t="s">
        <v>247</v>
      </c>
      <c r="O62" s="150" t="s">
        <v>302</v>
      </c>
      <c r="P62" s="150" t="s">
        <v>378</v>
      </c>
      <c r="Q62" s="150" t="s">
        <v>390</v>
      </c>
      <c r="R62" s="151">
        <v>1</v>
      </c>
      <c r="S62" s="151">
        <v>0</v>
      </c>
      <c r="T62" s="151">
        <v>0</v>
      </c>
      <c r="U62" s="151">
        <v>0</v>
      </c>
      <c r="V62" s="151">
        <v>0</v>
      </c>
      <c r="W62" s="4">
        <v>7740</v>
      </c>
      <c r="X62" s="86">
        <f>3.18293333333334*50%</f>
        <v>1.5914666666666699</v>
      </c>
      <c r="Y62" s="48">
        <f>17754.2*50%</f>
        <v>8877.1</v>
      </c>
      <c r="Z62" s="48">
        <f>14203.36*50%</f>
        <v>7101.68</v>
      </c>
      <c r="AA62" s="48">
        <f>550*50%</f>
        <v>275</v>
      </c>
      <c r="AB62" s="48">
        <f>32507.56*50%</f>
        <v>16253.78</v>
      </c>
      <c r="AC62" s="48">
        <f t="shared" si="10"/>
        <v>4063.4450000000002</v>
      </c>
      <c r="AD62" s="48">
        <f t="shared" si="11"/>
        <v>4063.4450000000002</v>
      </c>
      <c r="AE62" s="48">
        <f t="shared" si="17"/>
        <v>8126.8900000000012</v>
      </c>
      <c r="AF62" s="49">
        <f t="shared" si="18"/>
        <v>0</v>
      </c>
      <c r="AG62" s="50">
        <f t="shared" si="12"/>
        <v>16253.780000000002</v>
      </c>
      <c r="AH62" s="51">
        <f t="shared" si="15"/>
        <v>0</v>
      </c>
      <c r="AI62" s="51">
        <f t="shared" si="16"/>
        <v>10213.082272117943</v>
      </c>
    </row>
    <row r="63" spans="1:37" s="24" customFormat="1" ht="15">
      <c r="A63" s="58" t="s">
        <v>46</v>
      </c>
      <c r="B63" s="46" t="s">
        <v>46</v>
      </c>
      <c r="C63" s="47" t="s">
        <v>42</v>
      </c>
      <c r="D63" s="3" t="s">
        <v>47</v>
      </c>
      <c r="E63" s="3" t="s">
        <v>50</v>
      </c>
      <c r="F63" s="4" t="s">
        <v>50</v>
      </c>
      <c r="G63" s="5">
        <v>0.25</v>
      </c>
      <c r="H63" s="7">
        <v>16</v>
      </c>
      <c r="I63" s="7" t="s">
        <v>100</v>
      </c>
      <c r="J63" s="4" t="s">
        <v>52</v>
      </c>
      <c r="K63" s="4" t="s">
        <v>200</v>
      </c>
      <c r="L63" s="4" t="s">
        <v>200</v>
      </c>
      <c r="M63" s="4" t="s">
        <v>248</v>
      </c>
      <c r="N63" s="4" t="s">
        <v>246</v>
      </c>
      <c r="O63" s="150" t="s">
        <v>377</v>
      </c>
      <c r="P63" s="150" t="s">
        <v>382</v>
      </c>
      <c r="Q63" s="150" t="s">
        <v>441</v>
      </c>
      <c r="R63" s="151">
        <v>0.2</v>
      </c>
      <c r="S63" s="151">
        <v>0</v>
      </c>
      <c r="T63" s="151">
        <v>0.8</v>
      </c>
      <c r="U63" s="151">
        <v>0</v>
      </c>
      <c r="V63" s="151">
        <v>0</v>
      </c>
      <c r="W63" s="4">
        <v>7740</v>
      </c>
      <c r="X63" s="86">
        <v>18.290361904761905</v>
      </c>
      <c r="Y63" s="48">
        <v>75208.371595275006</v>
      </c>
      <c r="Z63" s="48">
        <v>53577.337276220002</v>
      </c>
      <c r="AA63" s="48">
        <v>4873.25</v>
      </c>
      <c r="AB63" s="48">
        <v>133658.95887149501</v>
      </c>
      <c r="AC63" s="48">
        <f t="shared" si="10"/>
        <v>33414.739717873752</v>
      </c>
      <c r="AD63" s="48">
        <f t="shared" si="11"/>
        <v>33414.739717873752</v>
      </c>
      <c r="AE63" s="48">
        <f t="shared" si="17"/>
        <v>66829.479435747518</v>
      </c>
      <c r="AF63" s="49">
        <f t="shared" si="18"/>
        <v>0</v>
      </c>
      <c r="AG63" s="50">
        <f t="shared" si="12"/>
        <v>133658.95887149504</v>
      </c>
      <c r="AH63" s="51">
        <f t="shared" si="15"/>
        <v>0</v>
      </c>
      <c r="AI63" s="51">
        <f t="shared" si="16"/>
        <v>7307.6169606407202</v>
      </c>
    </row>
    <row r="64" spans="1:37" s="34" customFormat="1" ht="15">
      <c r="A64" s="58" t="s">
        <v>46</v>
      </c>
      <c r="B64" s="46" t="s">
        <v>46</v>
      </c>
      <c r="C64" s="47" t="s">
        <v>42</v>
      </c>
      <c r="D64" s="3" t="s">
        <v>47</v>
      </c>
      <c r="E64" s="3" t="s">
        <v>280</v>
      </c>
      <c r="F64" s="4" t="s">
        <v>48</v>
      </c>
      <c r="G64" s="5">
        <v>0.75</v>
      </c>
      <c r="H64" s="7">
        <v>1</v>
      </c>
      <c r="I64" s="7" t="s">
        <v>49</v>
      </c>
      <c r="J64" s="4" t="s">
        <v>25</v>
      </c>
      <c r="K64" s="4" t="s">
        <v>168</v>
      </c>
      <c r="L64" s="4" t="s">
        <v>169</v>
      </c>
      <c r="M64" s="4" t="s">
        <v>169</v>
      </c>
      <c r="N64" s="4" t="s">
        <v>247</v>
      </c>
      <c r="O64" s="150" t="s">
        <v>302</v>
      </c>
      <c r="P64" s="150" t="s">
        <v>303</v>
      </c>
      <c r="Q64" s="150" t="s">
        <v>394</v>
      </c>
      <c r="R64" s="151">
        <v>0</v>
      </c>
      <c r="S64" s="151">
        <v>0</v>
      </c>
      <c r="T64" s="151">
        <v>0</v>
      </c>
      <c r="U64" s="151">
        <v>0.25</v>
      </c>
      <c r="V64" s="151">
        <v>0.75</v>
      </c>
      <c r="W64" s="4">
        <v>8880</v>
      </c>
      <c r="X64" s="86">
        <v>9.02</v>
      </c>
      <c r="Y64" s="48">
        <v>63154.23</v>
      </c>
      <c r="Z64" s="48">
        <v>12630.846000000001</v>
      </c>
      <c r="AA64" s="48">
        <v>16396.944</v>
      </c>
      <c r="AB64" s="48">
        <v>92182.02</v>
      </c>
      <c r="AC64" s="48">
        <f t="shared" si="10"/>
        <v>69136.514999999999</v>
      </c>
      <c r="AD64" s="48">
        <f t="shared" si="11"/>
        <v>0</v>
      </c>
      <c r="AE64" s="48">
        <f t="shared" si="17"/>
        <v>0</v>
      </c>
      <c r="AF64" s="49">
        <f t="shared" si="18"/>
        <v>23045.505000000005</v>
      </c>
      <c r="AG64" s="50">
        <f t="shared" si="12"/>
        <v>92182.02</v>
      </c>
      <c r="AH64" s="51">
        <f t="shared" si="15"/>
        <v>0</v>
      </c>
      <c r="AI64" s="51">
        <f t="shared" si="16"/>
        <v>10219.736141906875</v>
      </c>
      <c r="AJ64" s="24"/>
      <c r="AK64" s="24"/>
    </row>
    <row r="65" spans="1:37" s="34" customFormat="1" ht="15">
      <c r="A65" s="58" t="s">
        <v>28</v>
      </c>
      <c r="B65" s="46" t="s">
        <v>28</v>
      </c>
      <c r="C65" s="47" t="s">
        <v>29</v>
      </c>
      <c r="D65" s="3" t="s">
        <v>30</v>
      </c>
      <c r="E65" s="3" t="s">
        <v>267</v>
      </c>
      <c r="F65" s="4" t="s">
        <v>38</v>
      </c>
      <c r="G65" s="5">
        <v>0.75</v>
      </c>
      <c r="H65" s="7">
        <v>1</v>
      </c>
      <c r="I65" s="7" t="s">
        <v>20</v>
      </c>
      <c r="J65" s="4" t="s">
        <v>39</v>
      </c>
      <c r="K65" s="4" t="s">
        <v>205</v>
      </c>
      <c r="L65" s="4" t="s">
        <v>206</v>
      </c>
      <c r="M65" s="4" t="s">
        <v>179</v>
      </c>
      <c r="N65" s="4" t="s">
        <v>246</v>
      </c>
      <c r="O65" s="150" t="s">
        <v>365</v>
      </c>
      <c r="P65" s="150" t="s">
        <v>375</v>
      </c>
      <c r="Q65" s="150" t="s">
        <v>426</v>
      </c>
      <c r="R65" s="151">
        <v>0</v>
      </c>
      <c r="S65" s="151">
        <v>0</v>
      </c>
      <c r="T65" s="151">
        <v>0</v>
      </c>
      <c r="U65" s="151">
        <v>0.25</v>
      </c>
      <c r="V65" s="151">
        <v>0.75</v>
      </c>
      <c r="W65" s="4">
        <v>8880</v>
      </c>
      <c r="X65" s="86">
        <v>39.840000000000003</v>
      </c>
      <c r="Y65" s="48">
        <v>206170.61</v>
      </c>
      <c r="Z65" s="48">
        <v>41234.122000000003</v>
      </c>
      <c r="AA65" s="48">
        <v>20793.897358089409</v>
      </c>
      <c r="AB65" s="48">
        <v>268198.62935808941</v>
      </c>
      <c r="AC65" s="48">
        <f t="shared" si="10"/>
        <v>201148.97201856706</v>
      </c>
      <c r="AD65" s="48">
        <f t="shared" si="11"/>
        <v>0</v>
      </c>
      <c r="AE65" s="48">
        <f t="shared" si="17"/>
        <v>0</v>
      </c>
      <c r="AF65" s="49">
        <f t="shared" si="18"/>
        <v>67049.657339522353</v>
      </c>
      <c r="AG65" s="50">
        <f t="shared" si="12"/>
        <v>268198.62935808941</v>
      </c>
      <c r="AH65" s="51">
        <f t="shared" si="15"/>
        <v>0</v>
      </c>
      <c r="AI65" s="51">
        <f t="shared" si="16"/>
        <v>6731.8933071809588</v>
      </c>
      <c r="AJ65" s="24"/>
      <c r="AK65" s="24"/>
    </row>
    <row r="66" spans="1:37" s="34" customFormat="1" ht="15">
      <c r="A66" s="58" t="s">
        <v>101</v>
      </c>
      <c r="B66" s="46" t="s">
        <v>101</v>
      </c>
      <c r="C66" s="47" t="s">
        <v>42</v>
      </c>
      <c r="D66" s="3" t="s">
        <v>102</v>
      </c>
      <c r="E66" s="3" t="s">
        <v>271</v>
      </c>
      <c r="F66" s="4" t="s">
        <v>268</v>
      </c>
      <c r="G66" s="5">
        <v>0.25</v>
      </c>
      <c r="H66" s="7">
        <v>34</v>
      </c>
      <c r="I66" s="7" t="s">
        <v>120</v>
      </c>
      <c r="J66" s="4" t="s">
        <v>121</v>
      </c>
      <c r="K66" s="4" t="s">
        <v>236</v>
      </c>
      <c r="L66" s="4" t="s">
        <v>236</v>
      </c>
      <c r="M66" s="4" t="s">
        <v>248</v>
      </c>
      <c r="N66" s="4" t="s">
        <v>246</v>
      </c>
      <c r="O66" s="150" t="s">
        <v>377</v>
      </c>
      <c r="P66" s="150" t="s">
        <v>236</v>
      </c>
      <c r="Q66" s="150" t="s">
        <v>236</v>
      </c>
      <c r="R66" s="151">
        <v>0.2</v>
      </c>
      <c r="S66" s="151">
        <v>0</v>
      </c>
      <c r="T66" s="151">
        <v>0.8</v>
      </c>
      <c r="U66" s="151">
        <v>0</v>
      </c>
      <c r="V66" s="151">
        <v>0</v>
      </c>
      <c r="W66" s="4">
        <v>10270</v>
      </c>
      <c r="X66" s="86">
        <v>5.9552734129478235</v>
      </c>
      <c r="Y66" s="48">
        <v>15377.22</v>
      </c>
      <c r="Z66" s="52">
        <v>16146.081000000002</v>
      </c>
      <c r="AA66" s="48">
        <v>2681.67</v>
      </c>
      <c r="AB66" s="48">
        <v>34204.970999999998</v>
      </c>
      <c r="AC66" s="48">
        <f t="shared" ref="AC66:AC71" si="19">AB66*G66</f>
        <v>8551.2427499999994</v>
      </c>
      <c r="AD66" s="48">
        <f t="shared" ref="AD66:AD71" si="20">IF(G66=25%,(AB66*G66),0)</f>
        <v>8551.2427499999994</v>
      </c>
      <c r="AE66" s="48">
        <f t="shared" si="17"/>
        <v>17102.485500000003</v>
      </c>
      <c r="AF66" s="49">
        <f t="shared" si="18"/>
        <v>0</v>
      </c>
      <c r="AG66" s="50">
        <f t="shared" ref="AG66:AG71" si="21">SUM(AC66:AF66)</f>
        <v>34204.971000000005</v>
      </c>
      <c r="AH66" s="51">
        <f t="shared" si="15"/>
        <v>0</v>
      </c>
      <c r="AI66" s="51">
        <f t="shared" si="16"/>
        <v>5743.6440996365181</v>
      </c>
      <c r="AJ66" s="24"/>
      <c r="AK66" s="24"/>
    </row>
    <row r="67" spans="1:37" s="24" customFormat="1" ht="15" customHeight="1">
      <c r="A67" s="58" t="s">
        <v>40</v>
      </c>
      <c r="B67" s="46" t="s">
        <v>41</v>
      </c>
      <c r="C67" s="47" t="s">
        <v>42</v>
      </c>
      <c r="D67" s="3" t="s">
        <v>43</v>
      </c>
      <c r="E67" s="3" t="s">
        <v>274</v>
      </c>
      <c r="F67" s="4" t="s">
        <v>82</v>
      </c>
      <c r="G67" s="5">
        <v>0.25</v>
      </c>
      <c r="H67" s="7">
        <v>12</v>
      </c>
      <c r="I67" s="7" t="s">
        <v>83</v>
      </c>
      <c r="J67" s="4" t="s">
        <v>84</v>
      </c>
      <c r="K67" s="4" t="s">
        <v>198</v>
      </c>
      <c r="L67" s="4" t="s">
        <v>199</v>
      </c>
      <c r="M67" s="4" t="s">
        <v>173</v>
      </c>
      <c r="N67" s="4" t="s">
        <v>247</v>
      </c>
      <c r="O67" s="150" t="s">
        <v>377</v>
      </c>
      <c r="P67" s="150" t="s">
        <v>382</v>
      </c>
      <c r="Q67" s="150" t="s">
        <v>503</v>
      </c>
      <c r="R67" s="151">
        <v>0</v>
      </c>
      <c r="S67" s="151">
        <v>0</v>
      </c>
      <c r="T67" s="151">
        <v>0</v>
      </c>
      <c r="U67" s="151">
        <v>0.25</v>
      </c>
      <c r="V67" s="151">
        <v>0.75</v>
      </c>
      <c r="W67" s="4">
        <v>7819</v>
      </c>
      <c r="X67" s="86">
        <v>4.0080000000000009</v>
      </c>
      <c r="Y67" s="48">
        <v>10020</v>
      </c>
      <c r="Z67" s="48">
        <v>7314.5999999999995</v>
      </c>
      <c r="AA67" s="48">
        <v>833.5</v>
      </c>
      <c r="AB67" s="48">
        <v>18168.099999999999</v>
      </c>
      <c r="AC67" s="48">
        <f t="shared" si="19"/>
        <v>4542.0249999999996</v>
      </c>
      <c r="AD67" s="48">
        <f t="shared" si="20"/>
        <v>4542.0249999999996</v>
      </c>
      <c r="AE67" s="48">
        <f t="shared" si="17"/>
        <v>9084.0499999999993</v>
      </c>
      <c r="AF67" s="49">
        <f t="shared" si="18"/>
        <v>0</v>
      </c>
      <c r="AG67" s="50">
        <f t="shared" si="21"/>
        <v>18168.099999999999</v>
      </c>
      <c r="AH67" s="51">
        <f t="shared" si="15"/>
        <v>0</v>
      </c>
      <c r="AI67" s="51">
        <f t="shared" si="16"/>
        <v>4532.9590818363258</v>
      </c>
    </row>
    <row r="68" spans="1:37" s="24" customFormat="1" ht="15" customHeight="1">
      <c r="A68" s="58" t="s">
        <v>40</v>
      </c>
      <c r="B68" s="46" t="s">
        <v>41</v>
      </c>
      <c r="C68" s="47" t="s">
        <v>42</v>
      </c>
      <c r="D68" s="3" t="s">
        <v>43</v>
      </c>
      <c r="E68" s="3" t="s">
        <v>274</v>
      </c>
      <c r="F68" s="4" t="s">
        <v>82</v>
      </c>
      <c r="G68" s="5">
        <v>0.25</v>
      </c>
      <c r="H68" s="7">
        <v>29</v>
      </c>
      <c r="I68" s="7" t="s">
        <v>119</v>
      </c>
      <c r="J68" s="4" t="s">
        <v>84</v>
      </c>
      <c r="K68" s="4" t="s">
        <v>198</v>
      </c>
      <c r="L68" s="4" t="s">
        <v>199</v>
      </c>
      <c r="M68" s="4" t="s">
        <v>173</v>
      </c>
      <c r="N68" s="4" t="s">
        <v>247</v>
      </c>
      <c r="O68" s="150" t="s">
        <v>377</v>
      </c>
      <c r="P68" s="150" t="s">
        <v>382</v>
      </c>
      <c r="Q68" s="150" t="s">
        <v>504</v>
      </c>
      <c r="R68" s="151">
        <v>0</v>
      </c>
      <c r="S68" s="151">
        <v>0</v>
      </c>
      <c r="T68" s="151">
        <v>0</v>
      </c>
      <c r="U68" s="151">
        <v>0.25</v>
      </c>
      <c r="V68" s="151">
        <v>0.75</v>
      </c>
      <c r="W68" s="4">
        <v>5480</v>
      </c>
      <c r="X68" s="86">
        <v>4.9993706733794836</v>
      </c>
      <c r="Y68" s="53">
        <v>14981.1</v>
      </c>
      <c r="Z68" s="53">
        <v>3784.8520000000003</v>
      </c>
      <c r="AA68" s="53">
        <v>3943.16</v>
      </c>
      <c r="AB68" s="48">
        <v>22709.112000000001</v>
      </c>
      <c r="AC68" s="48">
        <f t="shared" si="19"/>
        <v>5677.2780000000002</v>
      </c>
      <c r="AD68" s="48">
        <f t="shared" si="20"/>
        <v>5677.2780000000002</v>
      </c>
      <c r="AE68" s="48">
        <f t="shared" si="17"/>
        <v>11354.556000000002</v>
      </c>
      <c r="AF68" s="49">
        <f t="shared" si="18"/>
        <v>0</v>
      </c>
      <c r="AG68" s="50">
        <f t="shared" si="21"/>
        <v>22709.112000000001</v>
      </c>
      <c r="AH68" s="51">
        <f t="shared" si="15"/>
        <v>0</v>
      </c>
      <c r="AI68" s="51">
        <f t="shared" si="16"/>
        <v>4542.3941299093658</v>
      </c>
    </row>
    <row r="69" spans="1:37" s="24" customFormat="1" ht="15.75" customHeight="1">
      <c r="A69" s="58" t="s">
        <v>46</v>
      </c>
      <c r="B69" s="46" t="s">
        <v>46</v>
      </c>
      <c r="C69" s="47" t="s">
        <v>42</v>
      </c>
      <c r="D69" s="3" t="s">
        <v>47</v>
      </c>
      <c r="E69" s="3" t="s">
        <v>286</v>
      </c>
      <c r="F69" s="4" t="s">
        <v>74</v>
      </c>
      <c r="G69" s="5">
        <v>0.25</v>
      </c>
      <c r="H69" s="7">
        <v>12</v>
      </c>
      <c r="I69" s="7" t="s">
        <v>73</v>
      </c>
      <c r="J69" s="4" t="s">
        <v>75</v>
      </c>
      <c r="K69" s="4" t="s">
        <v>162</v>
      </c>
      <c r="L69" s="4" t="s">
        <v>163</v>
      </c>
      <c r="M69" s="4" t="s">
        <v>164</v>
      </c>
      <c r="N69" s="4" t="s">
        <v>246</v>
      </c>
      <c r="O69" s="150" t="s">
        <v>377</v>
      </c>
      <c r="P69" s="150" t="s">
        <v>382</v>
      </c>
      <c r="Q69" s="150" t="s">
        <v>392</v>
      </c>
      <c r="R69" s="151">
        <v>0</v>
      </c>
      <c r="S69" s="151">
        <v>0</v>
      </c>
      <c r="T69" s="151">
        <v>0</v>
      </c>
      <c r="U69" s="151">
        <v>0</v>
      </c>
      <c r="V69" s="151">
        <v>0</v>
      </c>
      <c r="W69" s="4">
        <v>7819</v>
      </c>
      <c r="X69" s="86">
        <v>11.919999999999998</v>
      </c>
      <c r="Y69" s="48">
        <v>38440</v>
      </c>
      <c r="Z69" s="48">
        <v>27292.400000000001</v>
      </c>
      <c r="AA69" s="48">
        <v>1135</v>
      </c>
      <c r="AB69" s="48">
        <v>66867.399999999994</v>
      </c>
      <c r="AC69" s="48">
        <f t="shared" si="19"/>
        <v>16716.849999999999</v>
      </c>
      <c r="AD69" s="48">
        <f t="shared" si="20"/>
        <v>16716.849999999999</v>
      </c>
      <c r="AE69" s="48">
        <f t="shared" si="17"/>
        <v>33433.699999999997</v>
      </c>
      <c r="AF69" s="49">
        <f t="shared" si="18"/>
        <v>0</v>
      </c>
      <c r="AG69" s="50">
        <f t="shared" si="21"/>
        <v>66867.399999999994</v>
      </c>
      <c r="AH69" s="51">
        <f t="shared" si="15"/>
        <v>0</v>
      </c>
      <c r="AI69" s="51">
        <f t="shared" si="16"/>
        <v>5609.681208053692</v>
      </c>
    </row>
    <row r="70" spans="1:37" s="24" customFormat="1" ht="15.75" customHeight="1">
      <c r="A70" s="58" t="s">
        <v>46</v>
      </c>
      <c r="B70" s="46" t="s">
        <v>46</v>
      </c>
      <c r="C70" s="47" t="s">
        <v>42</v>
      </c>
      <c r="D70" s="3" t="s">
        <v>47</v>
      </c>
      <c r="E70" s="3" t="s">
        <v>80</v>
      </c>
      <c r="F70" s="4" t="s">
        <v>80</v>
      </c>
      <c r="G70" s="5">
        <v>0.25</v>
      </c>
      <c r="H70" s="7">
        <v>12</v>
      </c>
      <c r="I70" s="7" t="s">
        <v>77</v>
      </c>
      <c r="J70" s="4" t="s">
        <v>75</v>
      </c>
      <c r="K70" s="4" t="s">
        <v>162</v>
      </c>
      <c r="L70" s="4" t="s">
        <v>163</v>
      </c>
      <c r="M70" s="4" t="s">
        <v>164</v>
      </c>
      <c r="N70" s="4" t="s">
        <v>246</v>
      </c>
      <c r="O70" s="150" t="s">
        <v>377</v>
      </c>
      <c r="P70" s="150" t="s">
        <v>382</v>
      </c>
      <c r="Q70" s="150" t="s">
        <v>392</v>
      </c>
      <c r="R70" s="151">
        <v>0</v>
      </c>
      <c r="S70" s="151">
        <v>0</v>
      </c>
      <c r="T70" s="151">
        <v>0</v>
      </c>
      <c r="U70" s="151">
        <v>0.25</v>
      </c>
      <c r="V70" s="151">
        <v>0.75</v>
      </c>
      <c r="W70" s="4">
        <v>7819</v>
      </c>
      <c r="X70" s="86">
        <v>8.3913565426170518</v>
      </c>
      <c r="Y70" s="48">
        <v>22715.699999999997</v>
      </c>
      <c r="Z70" s="48">
        <v>16064.028</v>
      </c>
      <c r="AA70" s="48">
        <v>4057.68</v>
      </c>
      <c r="AB70" s="48">
        <v>42837.407999999996</v>
      </c>
      <c r="AC70" s="48">
        <f t="shared" si="19"/>
        <v>10709.351999999999</v>
      </c>
      <c r="AD70" s="48">
        <f t="shared" si="20"/>
        <v>10709.351999999999</v>
      </c>
      <c r="AE70" s="48">
        <f t="shared" si="17"/>
        <v>21418.703999999998</v>
      </c>
      <c r="AF70" s="49">
        <f t="shared" si="18"/>
        <v>0</v>
      </c>
      <c r="AG70" s="50">
        <f t="shared" si="21"/>
        <v>42837.407999999996</v>
      </c>
      <c r="AH70" s="51">
        <f t="shared" si="15"/>
        <v>0</v>
      </c>
      <c r="AI70" s="51">
        <f t="shared" si="16"/>
        <v>5104.9443296137306</v>
      </c>
    </row>
    <row r="71" spans="1:37" s="83" customFormat="1" ht="19" thickBot="1">
      <c r="A71" s="58" t="s">
        <v>46</v>
      </c>
      <c r="B71" s="46" t="s">
        <v>46</v>
      </c>
      <c r="C71" s="47" t="s">
        <v>42</v>
      </c>
      <c r="D71" s="3" t="s">
        <v>47</v>
      </c>
      <c r="E71" s="3" t="s">
        <v>286</v>
      </c>
      <c r="F71" s="4" t="s">
        <v>74</v>
      </c>
      <c r="G71" s="5">
        <v>0.25</v>
      </c>
      <c r="H71" s="7">
        <v>29</v>
      </c>
      <c r="I71" s="7" t="s">
        <v>119</v>
      </c>
      <c r="J71" s="4" t="s">
        <v>75</v>
      </c>
      <c r="K71" s="4" t="s">
        <v>162</v>
      </c>
      <c r="L71" s="4" t="s">
        <v>163</v>
      </c>
      <c r="M71" s="4" t="s">
        <v>164</v>
      </c>
      <c r="N71" s="4" t="s">
        <v>246</v>
      </c>
      <c r="O71" s="150" t="s">
        <v>377</v>
      </c>
      <c r="P71" s="150" t="s">
        <v>382</v>
      </c>
      <c r="Q71" s="150" t="s">
        <v>392</v>
      </c>
      <c r="R71" s="151">
        <v>0</v>
      </c>
      <c r="S71" s="151">
        <v>0</v>
      </c>
      <c r="T71" s="151">
        <v>0</v>
      </c>
      <c r="U71" s="151">
        <v>0.25</v>
      </c>
      <c r="V71" s="151">
        <v>0.75</v>
      </c>
      <c r="W71" s="4">
        <v>5480</v>
      </c>
      <c r="X71" s="91">
        <v>17.769666456891116</v>
      </c>
      <c r="Y71" s="124">
        <v>59705.020000000004</v>
      </c>
      <c r="Z71" s="124">
        <v>12664.616000000002</v>
      </c>
      <c r="AA71" s="124">
        <v>3618.06</v>
      </c>
      <c r="AB71" s="59">
        <v>75987.696000000011</v>
      </c>
      <c r="AC71" s="48">
        <f t="shared" si="19"/>
        <v>18996.924000000003</v>
      </c>
      <c r="AD71" s="48">
        <f t="shared" si="20"/>
        <v>18996.924000000003</v>
      </c>
      <c r="AE71" s="48">
        <f t="shared" si="17"/>
        <v>37993.848000000013</v>
      </c>
      <c r="AF71" s="49">
        <f t="shared" si="18"/>
        <v>0</v>
      </c>
      <c r="AG71" s="50">
        <f t="shared" si="21"/>
        <v>75987.696000000025</v>
      </c>
      <c r="AH71" s="51">
        <f t="shared" si="15"/>
        <v>0</v>
      </c>
      <c r="AI71" s="51">
        <f t="shared" si="16"/>
        <v>4276.2589936251625</v>
      </c>
      <c r="AJ71" s="34"/>
      <c r="AK71" s="24"/>
    </row>
    <row r="72" spans="1:37" ht="19" thickBot="1">
      <c r="A72" s="12"/>
      <c r="X72" s="39">
        <f t="shared" ref="X72:AG72" si="22">SUM(X2:X71)</f>
        <v>582.71307518731601</v>
      </c>
      <c r="Y72" s="37">
        <f t="shared" si="22"/>
        <v>3095529.2880943827</v>
      </c>
      <c r="Z72" s="37">
        <f t="shared" si="22"/>
        <v>1403065.3780773291</v>
      </c>
      <c r="AA72" s="37">
        <f t="shared" si="22"/>
        <v>254568.83342720801</v>
      </c>
      <c r="AB72" s="37">
        <f t="shared" si="22"/>
        <v>4753163.5895989183</v>
      </c>
      <c r="AC72" s="37">
        <f t="shared" si="22"/>
        <v>2204483.7596733812</v>
      </c>
      <c r="AD72" s="37">
        <f t="shared" si="22"/>
        <v>659844.65242918523</v>
      </c>
      <c r="AE72" s="37">
        <f t="shared" si="22"/>
        <v>1410146.072187678</v>
      </c>
      <c r="AF72" s="38">
        <f t="shared" si="22"/>
        <v>480700.38210867532</v>
      </c>
      <c r="AG72" s="38">
        <f t="shared" si="22"/>
        <v>4755174.8663989184</v>
      </c>
    </row>
    <row r="73" spans="1:37" ht="18">
      <c r="X73" s="114"/>
      <c r="Y73" s="115"/>
      <c r="Z73" s="115"/>
      <c r="AA73" s="115"/>
      <c r="AB73" s="115"/>
      <c r="AC73" s="115"/>
      <c r="AD73" s="115"/>
      <c r="AE73" s="115"/>
      <c r="AF73" s="115"/>
      <c r="AG73" s="115"/>
    </row>
    <row r="74" spans="1:37" ht="15">
      <c r="C74" s="21"/>
      <c r="D74" s="20"/>
      <c r="E74" s="20"/>
      <c r="F74" s="20"/>
      <c r="G74" s="20"/>
      <c r="H74" s="20"/>
      <c r="I74" s="20"/>
      <c r="M74" s="20"/>
      <c r="N74" s="20"/>
      <c r="O74" s="153"/>
      <c r="P74" s="153"/>
      <c r="Q74" s="153"/>
      <c r="R74" s="153"/>
      <c r="S74" s="153"/>
      <c r="T74" s="153"/>
      <c r="U74" s="153"/>
      <c r="V74" s="153"/>
      <c r="W74" s="116" t="s">
        <v>385</v>
      </c>
    </row>
    <row r="75" spans="1:37" s="9" customFormat="1" ht="15">
      <c r="C75"/>
      <c r="D75" s="25"/>
      <c r="E75" s="25"/>
      <c r="F75" s="25"/>
      <c r="G75" s="25"/>
      <c r="H75" s="25"/>
      <c r="I75" s="25"/>
      <c r="M75" s="25"/>
      <c r="N75" s="25"/>
      <c r="O75" s="154"/>
      <c r="P75" s="154"/>
      <c r="Q75" s="154"/>
      <c r="R75" s="154"/>
      <c r="S75" s="154"/>
      <c r="T75" s="154"/>
      <c r="U75" s="154"/>
      <c r="V75" s="154"/>
      <c r="W75" s="22"/>
      <c r="X75" s="23" t="s">
        <v>281</v>
      </c>
      <c r="Y75" s="23" t="s">
        <v>282</v>
      </c>
      <c r="Z75" s="23" t="s">
        <v>283</v>
      </c>
      <c r="AA75" s="23" t="s">
        <v>229</v>
      </c>
      <c r="AB75" s="40" t="s">
        <v>230</v>
      </c>
      <c r="AC75" s="24"/>
      <c r="AD75" s="24"/>
      <c r="AE75" s="33"/>
      <c r="AH75"/>
      <c r="AI75"/>
      <c r="AJ75"/>
    </row>
    <row r="76" spans="1:37">
      <c r="C76"/>
      <c r="D76" s="20"/>
      <c r="E76" s="20"/>
      <c r="F76" s="20"/>
      <c r="G76" s="20"/>
      <c r="H76" s="20"/>
      <c r="I76" s="20"/>
      <c r="M76" s="20"/>
      <c r="N76" s="20"/>
      <c r="O76" s="153"/>
      <c r="P76" s="153"/>
      <c r="Q76" s="153"/>
      <c r="R76" s="153"/>
      <c r="S76" s="153"/>
      <c r="T76" s="153"/>
      <c r="U76" s="153"/>
      <c r="V76" s="153"/>
      <c r="W76" s="26" t="s">
        <v>140</v>
      </c>
      <c r="X76" s="29">
        <f>SUMIF(O2:O71, "COORD", X2:X71)</f>
        <v>162.87926924175872</v>
      </c>
      <c r="Y76" s="27">
        <f>SUMIF(O2:O71, "COORD", AB2:AB71)</f>
        <v>1396311.7092921706</v>
      </c>
      <c r="Z76" s="27">
        <f>SUMIF(O2:O71, "COORD", AC2:AC71)</f>
        <v>840835.51621436724</v>
      </c>
      <c r="AA76" s="27">
        <f>SUMIF(O2:O71, "COORD", AD2:AD71)+SUMIF(O2:O71, "COORD", AF2:AF71)</f>
        <v>302237.89443171804</v>
      </c>
      <c r="AB76" s="41">
        <f>+SUMIF(O2:O71, "COORD", AE2:AE71)</f>
        <v>253238.29864608531</v>
      </c>
      <c r="AC76" s="33"/>
      <c r="AD76" s="33"/>
      <c r="AE76" s="33"/>
      <c r="AG76" s="9"/>
      <c r="AH76" s="9"/>
      <c r="AI76" s="9"/>
      <c r="AJ76" s="9"/>
    </row>
    <row r="77" spans="1:37">
      <c r="C77"/>
      <c r="D77" s="20"/>
      <c r="E77" s="20"/>
      <c r="F77" s="20"/>
      <c r="G77" s="20"/>
      <c r="H77" s="20"/>
      <c r="I77" s="20"/>
      <c r="M77" s="20"/>
      <c r="N77" s="20"/>
      <c r="O77" s="153"/>
      <c r="P77" s="153"/>
      <c r="Q77" s="153"/>
      <c r="R77" s="153"/>
      <c r="S77" s="153"/>
      <c r="T77" s="153"/>
      <c r="U77" s="153"/>
      <c r="V77" s="153"/>
      <c r="W77" s="22" t="s">
        <v>324</v>
      </c>
      <c r="X77" s="29">
        <f>SUMIF(O2:O71, "CONSUPP", X2:X71)</f>
        <v>153.14278227861772</v>
      </c>
      <c r="Y77" s="27">
        <f>SUMIF(O2:O71, "CONSUPP", AB2:AB71)</f>
        <v>1178419.6547743054</v>
      </c>
      <c r="Z77" s="27">
        <f>SUMIF(O2:O71, "CONSUPP", AC2:AC71)</f>
        <v>580516.70361806895</v>
      </c>
      <c r="AA77" s="27">
        <f>SUMIF(O2:O71, "CONSUPP", AD2:AD71)+SUMIF(O2:O71, "CONSUPP", AF2:AF71)</f>
        <v>294604.91369357635</v>
      </c>
      <c r="AB77" s="41">
        <f>+SUMIF(O2:O71, "CONSUPP", AE2:AE71)</f>
        <v>303298.03746266005</v>
      </c>
      <c r="AC77" s="33"/>
      <c r="AD77" s="24"/>
      <c r="AG77" s="9"/>
    </row>
    <row r="78" spans="1:37">
      <c r="C78"/>
      <c r="D78" s="20"/>
      <c r="E78" s="20"/>
      <c r="F78" s="20"/>
      <c r="G78" s="20"/>
      <c r="H78" s="20"/>
      <c r="I78" s="20"/>
      <c r="M78" s="20"/>
      <c r="N78" s="20"/>
      <c r="O78" s="153"/>
      <c r="P78" s="153"/>
      <c r="Q78" s="153"/>
      <c r="R78" s="153"/>
      <c r="S78" s="153"/>
      <c r="T78" s="153"/>
      <c r="U78" s="153"/>
      <c r="V78" s="153"/>
      <c r="W78" s="22" t="s">
        <v>347</v>
      </c>
      <c r="X78" s="29">
        <f>SUMIF(O2:O71, "MARKOUT", X2:X71)</f>
        <v>59.514814348646944</v>
      </c>
      <c r="Y78" s="27">
        <f>SUMIF(O2:O71, "MARKOUT", AB2:AB71)</f>
        <v>424903.80735101434</v>
      </c>
      <c r="Z78" s="27">
        <f>SUMIF(O2:O71, "MARKOUT", AC2:AC71)</f>
        <v>307232.43791326077</v>
      </c>
      <c r="AA78" s="27">
        <f>SUMIF(O2:O71, "MARKOUT", AD2:AD71)+SUMIF(O2:O71, "MARKOUT", AF2:AF71)</f>
        <v>106225.95183775362</v>
      </c>
      <c r="AB78" s="41">
        <f>+SUMIF(O2:O71, "MARKOUT", AE2:AE71)</f>
        <v>11445.417600000001</v>
      </c>
      <c r="AC78" s="33"/>
      <c r="AD78" s="24"/>
      <c r="AG78" s="9"/>
    </row>
    <row r="79" spans="1:37">
      <c r="C79"/>
      <c r="D79" s="20"/>
      <c r="E79" s="20"/>
      <c r="F79" s="20"/>
      <c r="G79" s="20"/>
      <c r="H79" s="20"/>
      <c r="I79" s="20"/>
      <c r="M79" s="20"/>
      <c r="N79" s="20"/>
      <c r="O79" s="153"/>
      <c r="P79" s="153"/>
      <c r="Q79" s="153"/>
      <c r="R79" s="153"/>
      <c r="S79" s="153"/>
      <c r="T79" s="153"/>
      <c r="U79" s="153"/>
      <c r="V79" s="153"/>
      <c r="W79" s="22" t="s">
        <v>355</v>
      </c>
      <c r="X79" s="29">
        <f>SUMIF(O2:O71, "SOFTPLAT", X2:X71)</f>
        <v>87.656890295119183</v>
      </c>
      <c r="Y79" s="27">
        <f>SUMIF(O2:O71, "SOFTPLAT", AB2:AB71)</f>
        <v>503336.89387149498</v>
      </c>
      <c r="Z79" s="27">
        <f>SUMIF(O2:O71, "SOFTPLAT", AC2:AC71)</f>
        <v>125834.22346787374</v>
      </c>
      <c r="AA79" s="27">
        <f>SUMIF(O2:O71, "SOFTPLAT", AD2:AD71)+SUMIF(O2:O71, "SOFTPLAT", AF2:AF71)</f>
        <v>125834.22346787374</v>
      </c>
      <c r="AB79" s="41">
        <f>+SUMIF(O2:O71, "SOFTPLAT", AE2:AE71)</f>
        <v>251668.44693574752</v>
      </c>
      <c r="AC79" s="33"/>
      <c r="AD79" s="24"/>
      <c r="AG79" s="9"/>
    </row>
    <row r="80" spans="1:37">
      <c r="C80"/>
      <c r="D80" s="20"/>
      <c r="E80" s="20"/>
      <c r="F80" s="20"/>
      <c r="G80" s="20"/>
      <c r="H80" s="20"/>
      <c r="I80" s="20"/>
      <c r="M80" s="20"/>
      <c r="N80" s="20"/>
      <c r="O80" s="153"/>
      <c r="P80" s="153"/>
      <c r="Q80" s="153"/>
      <c r="R80" s="153"/>
      <c r="S80" s="153"/>
      <c r="T80" s="153"/>
      <c r="U80" s="153"/>
      <c r="V80" s="153"/>
      <c r="W80" s="22" t="s">
        <v>359</v>
      </c>
      <c r="X80" s="29">
        <f>SUMIF(O2:O71, "CORE", X2:X71)</f>
        <v>119.51931902317328</v>
      </c>
      <c r="Y80" s="27">
        <f>SUMIF(O2:O71, "CORE", AB2:AB71)</f>
        <v>1250191.5243099348</v>
      </c>
      <c r="Z80" s="27">
        <f>SUMIF(O2:O71, "CORE", AC2:AC71)</f>
        <v>350064.87845981051</v>
      </c>
      <c r="AA80" s="27">
        <f>SUMIF(O2:O71, "CORE", AD2:AD71)+SUMIF(O2:O71, "CORE", AF2:AF71)</f>
        <v>311642.05110693903</v>
      </c>
      <c r="AB80" s="41">
        <f>+SUMIF(O2:O71, "CORE", AE2:AE71)</f>
        <v>590495.8715431852</v>
      </c>
      <c r="AC80" s="33"/>
      <c r="AD80" s="24"/>
      <c r="AG80" s="9"/>
    </row>
    <row r="81" spans="3:37" ht="15">
      <c r="C81"/>
      <c r="W81" s="22"/>
      <c r="X81" s="30">
        <f>SUM(X76:X80)</f>
        <v>582.71307518731578</v>
      </c>
      <c r="Y81" s="27">
        <f>SUM(Y76:Y80)</f>
        <v>4753163.5895989202</v>
      </c>
      <c r="Z81" s="27">
        <f>SUM(Z76:Z80)</f>
        <v>2204483.7596733812</v>
      </c>
      <c r="AA81" s="27">
        <f>SUM(AA76:AA80)</f>
        <v>1140545.0345378609</v>
      </c>
      <c r="AB81" s="41">
        <f>SUBTOTAL(9,AB76:AB80)</f>
        <v>1410146.072187678</v>
      </c>
      <c r="AC81" s="33"/>
      <c r="AD81" s="42"/>
      <c r="AG81" s="9"/>
    </row>
    <row r="82" spans="3:37" s="24" customFormat="1" ht="15">
      <c r="O82" s="118"/>
      <c r="P82" s="118"/>
      <c r="Q82" s="118"/>
      <c r="R82" s="118"/>
      <c r="S82" s="118"/>
      <c r="T82" s="118"/>
      <c r="U82" s="118"/>
      <c r="V82" s="118"/>
      <c r="W82" s="111"/>
      <c r="X82" s="36"/>
      <c r="Y82" s="108"/>
      <c r="Z82" s="108"/>
      <c r="AA82" s="108"/>
      <c r="AB82" s="108"/>
      <c r="AC82" s="44"/>
      <c r="AD82" s="42"/>
      <c r="AE82" s="34"/>
      <c r="AF82" s="34"/>
      <c r="AG82" s="34"/>
    </row>
    <row r="83" spans="3:37" ht="15">
      <c r="C83"/>
      <c r="W83" s="116" t="s">
        <v>386</v>
      </c>
      <c r="X83" s="112"/>
      <c r="Y83" s="112"/>
      <c r="Z83" s="112"/>
      <c r="AA83" s="112"/>
      <c r="AB83" s="24"/>
      <c r="AC83" s="24"/>
      <c r="AD83" s="24"/>
      <c r="AE83" s="34"/>
      <c r="AF83" s="113"/>
      <c r="AG83" s="34"/>
      <c r="AH83" s="24"/>
      <c r="AI83" s="24"/>
      <c r="AJ83" s="24"/>
      <c r="AK83" s="9"/>
    </row>
    <row r="84" spans="3:37" ht="15">
      <c r="C84"/>
      <c r="W84" s="116"/>
      <c r="X84" s="23" t="s">
        <v>281</v>
      </c>
      <c r="Y84" s="23" t="s">
        <v>249</v>
      </c>
      <c r="Z84" s="23" t="s">
        <v>283</v>
      </c>
      <c r="AA84" s="23" t="s">
        <v>229</v>
      </c>
      <c r="AB84" s="40" t="s">
        <v>230</v>
      </c>
      <c r="AC84" s="24"/>
      <c r="AD84" s="24"/>
      <c r="AE84" s="34"/>
      <c r="AF84" s="113"/>
      <c r="AG84" s="34"/>
      <c r="AH84" s="24"/>
      <c r="AI84" s="24"/>
      <c r="AJ84" s="24"/>
      <c r="AK84" s="9"/>
    </row>
    <row r="85" spans="3:37">
      <c r="C85"/>
      <c r="W85" s="26" t="s">
        <v>395</v>
      </c>
      <c r="X85" s="29">
        <f>SUMIF(P2:P71, "PRJMGT", X2:X71)</f>
        <v>94.51666666666668</v>
      </c>
      <c r="Y85" s="27">
        <f>SUMIF(P2:P71, "PRJMGT", AB2:AB71)</f>
        <v>763677.22000000009</v>
      </c>
      <c r="Z85" s="27">
        <f>SUMIF(P2:P71, "PRJMGT", AC2:AC71)</f>
        <v>572234.41989132471</v>
      </c>
      <c r="AA85" s="27">
        <f>SUMIF(P2:P71, "PRJMGT", AD2:AD71)+SUMIF(P2:P71, "PRJMGT", AF2:AF71)</f>
        <v>144079.27210867536</v>
      </c>
      <c r="AB85" s="41">
        <f>+SUMIF(P2:P71, "PRJMGT", AE2:AE71)</f>
        <v>47363.528000000006</v>
      </c>
      <c r="AC85" s="9"/>
      <c r="AD85" s="33"/>
      <c r="AE85" s="33"/>
      <c r="AF85" s="55"/>
      <c r="AK85" s="9"/>
    </row>
    <row r="86" spans="3:37">
      <c r="C86"/>
      <c r="W86" s="22" t="s">
        <v>45</v>
      </c>
      <c r="X86" s="29">
        <f>SUMIF(P2:P71, "OPSCOORD", X2:X71)</f>
        <v>36.927756301388158</v>
      </c>
      <c r="Y86" s="27">
        <f>SUMIF(P2:P71, "OPSCOORD", AB2:AB71)</f>
        <v>372158.92379217059</v>
      </c>
      <c r="Z86" s="27">
        <f>SUMIF(P2:P71, "OPSCOORD", AC2:AC71)</f>
        <v>157391.19494804266</v>
      </c>
      <c r="AA86" s="27">
        <f>SUMIF(P2:P71, "OPSCOORD", AD2:AD71)+SUMIF(P2:P71, "OPSCOORD", AF2:AF71)</f>
        <v>93039.730948042619</v>
      </c>
      <c r="AB86" s="41">
        <f>+SUMIF(P2:P71, "OPSCOORD", AE2:AE71)</f>
        <v>121727.99789608529</v>
      </c>
      <c r="AC86" s="9"/>
      <c r="AD86" s="33"/>
      <c r="AE86" s="55"/>
      <c r="AK86" s="9"/>
    </row>
    <row r="87" spans="3:37" s="24" customFormat="1">
      <c r="O87" s="118"/>
      <c r="P87" s="118"/>
      <c r="Q87" s="118"/>
      <c r="R87" s="118"/>
      <c r="S87" s="118"/>
      <c r="T87" s="118"/>
      <c r="U87" s="118"/>
      <c r="V87" s="118"/>
      <c r="W87" s="22" t="s">
        <v>316</v>
      </c>
      <c r="X87" s="29">
        <f>SUMIF(P2:P71, "TECHCOORD", X2:X71)</f>
        <v>15.527936507936507</v>
      </c>
      <c r="Y87" s="27">
        <f>SUMIF(P2:P71, "TECHCOORD", AB2:AB71)</f>
        <v>139370.084</v>
      </c>
      <c r="Z87" s="27">
        <f>SUMIF(P2:P71, "TECHCOORD", AC2:AC71)</f>
        <v>80933.531000000003</v>
      </c>
      <c r="AA87" s="27">
        <f>SUMIF(P2:P71, "TECHCOORD", AD2:AD71)+SUMIF(P2:P71, "TECHCOORD", AF2:AF71)</f>
        <v>34842.521000000008</v>
      </c>
      <c r="AB87" s="41">
        <f>+SUMIF(P2:P71, "TECHCOORD", AE2:AE71)</f>
        <v>23594.031999999996</v>
      </c>
      <c r="AC87" s="9"/>
      <c r="AD87" s="55"/>
      <c r="AE87" s="110"/>
      <c r="AF87" s="9"/>
      <c r="AG87" s="9"/>
      <c r="AH87" s="9"/>
      <c r="AI87"/>
      <c r="AJ87"/>
      <c r="AK87" s="98"/>
    </row>
    <row r="88" spans="3:37" s="24" customFormat="1">
      <c r="C88" s="100"/>
      <c r="O88" s="118"/>
      <c r="P88" s="118"/>
      <c r="Q88" s="118"/>
      <c r="R88" s="118"/>
      <c r="S88" s="118"/>
      <c r="T88" s="118"/>
      <c r="U88" s="118"/>
      <c r="V88" s="118"/>
      <c r="W88" s="22" t="s">
        <v>115</v>
      </c>
      <c r="X88" s="29">
        <f>SUMIF(P2:P71, "SECCORD", X2:X71)</f>
        <v>15.906909765767399</v>
      </c>
      <c r="Y88" s="27">
        <f>SUMIF(P2:P71, "SECCORD", AB2:AB71)</f>
        <v>121105.48149999999</v>
      </c>
      <c r="Z88" s="27">
        <f>SUMIF(P2:P71, "SECCORD", AC2:AC71)</f>
        <v>30276.370374999999</v>
      </c>
      <c r="AA88" s="27">
        <f>SUMIF(P2:P71, "SECCORD", AD2:AD71)+SUMIF(P2:P71, "SECCORD", AF2:AF71)</f>
        <v>30276.370374999999</v>
      </c>
      <c r="AB88" s="41">
        <f>+SUMIF(P2:P71, "SECCORD", AE2:AE71)</f>
        <v>60552.740749999997</v>
      </c>
      <c r="AC88" s="9"/>
      <c r="AD88" s="35"/>
      <c r="AE88" s="110"/>
      <c r="AF88"/>
      <c r="AG88"/>
      <c r="AH88"/>
      <c r="AI88" s="9"/>
      <c r="AJ88" s="9"/>
      <c r="AK88" s="98"/>
    </row>
    <row r="89" spans="3:37" s="24" customFormat="1" ht="13" customHeight="1">
      <c r="C89" s="100"/>
      <c r="O89" s="118"/>
      <c r="P89" s="118"/>
      <c r="Q89" s="118"/>
      <c r="R89" s="118"/>
      <c r="S89" s="118"/>
      <c r="T89" s="118"/>
      <c r="U89" s="118"/>
      <c r="V89" s="118"/>
      <c r="W89" s="22" t="s">
        <v>396</v>
      </c>
      <c r="X89" s="29">
        <f>SUMIF(P2:P71, "SPECCON", X2:X71)</f>
        <v>0</v>
      </c>
      <c r="Y89" s="27">
        <f>SUMIF(P2:P71, "SPECCON", AB2:AB71)</f>
        <v>0</v>
      </c>
      <c r="Z89" s="27">
        <f>SUMIF(P2:P71, "SPECCON", AC2:AC71)</f>
        <v>0</v>
      </c>
      <c r="AA89" s="27">
        <f>SUMIF(P2:P71, "SPECCON", AD2:AD71)+SUMIF(P2:P71, "SPECCON", AF2:AF71)</f>
        <v>0</v>
      </c>
      <c r="AB89" s="41">
        <f>+SUMIF(P2:P71, "SPECCON", AE2:AE71)</f>
        <v>0</v>
      </c>
      <c r="AC89" s="56"/>
      <c r="AD89" s="33"/>
      <c r="AE89" s="9"/>
      <c r="AF89" s="35"/>
      <c r="AG89" s="9"/>
      <c r="AH89" s="9"/>
      <c r="AI89"/>
      <c r="AJ89"/>
      <c r="AK89" s="98"/>
    </row>
    <row r="90" spans="3:37" s="24" customFormat="1">
      <c r="C90" s="100"/>
      <c r="O90" s="118"/>
      <c r="P90" s="118"/>
      <c r="Q90" s="118"/>
      <c r="R90" s="118"/>
      <c r="S90" s="118"/>
      <c r="T90" s="118"/>
      <c r="U90" s="118"/>
      <c r="V90" s="118"/>
      <c r="W90" s="22" t="s">
        <v>397</v>
      </c>
      <c r="X90" s="29">
        <f>SUMIF(P2:P71, "MRDA", X2:X71)</f>
        <v>43.56</v>
      </c>
      <c r="Y90" s="27">
        <f>SUMIF(P2:P71, "MRDA", AB2:AB71)</f>
        <v>303624.95049089589</v>
      </c>
      <c r="Z90" s="27">
        <f>SUMIF(P2:P71, "MRDA", AC2:AC71)</f>
        <v>227718.71286817192</v>
      </c>
      <c r="AA90" s="27">
        <f>SUMIF(P2:P71, "MRDA", AD2:AD71)+SUMIF(P2:P71, "MRDA", AF2:AF71)</f>
        <v>75906.237622723973</v>
      </c>
      <c r="AB90" s="41">
        <f>+SUMIF(P2:P71, "MRDA", AE2:AE71)</f>
        <v>0</v>
      </c>
      <c r="AC90" s="56"/>
      <c r="AD90" s="9"/>
      <c r="AE90" s="9"/>
      <c r="AF90"/>
      <c r="AG90"/>
      <c r="AH90"/>
      <c r="AI90"/>
      <c r="AJ90"/>
      <c r="AK90" s="98"/>
    </row>
    <row r="91" spans="3:37" s="24" customFormat="1">
      <c r="C91" s="100"/>
      <c r="O91" s="118"/>
      <c r="P91" s="118"/>
      <c r="Q91" s="118"/>
      <c r="R91" s="118"/>
      <c r="S91" s="118"/>
      <c r="T91" s="118"/>
      <c r="U91" s="118"/>
      <c r="V91" s="118"/>
      <c r="W91" s="22" t="s">
        <v>329</v>
      </c>
      <c r="X91" s="29">
        <f>SUMIF(P2:P71, "POLDEV", X2:X71)</f>
        <v>5.0095003142677568</v>
      </c>
      <c r="Y91" s="27">
        <f>SUMIF(P2:P71, "POLDEV", AB2:AB71)</f>
        <v>101813.432</v>
      </c>
      <c r="Z91" s="27">
        <f>SUMIF(P2:P71, "POLDEV", AC2:AC71)</f>
        <v>25453.358</v>
      </c>
      <c r="AA91" s="27">
        <f>SUMIF(P2:P71, "POLDEV", AD2:AD71)+SUMIF(P2:P71, "POLDEV", AF2:AF71)</f>
        <v>25453.358</v>
      </c>
      <c r="AB91" s="41">
        <f>+SUMIF(P2:P71, "POLDEV", AE2:AE71)</f>
        <v>50906.715999999993</v>
      </c>
      <c r="AC91"/>
      <c r="AD91" s="9"/>
      <c r="AE91" s="9"/>
      <c r="AF91"/>
      <c r="AG91"/>
      <c r="AH91"/>
      <c r="AI91"/>
      <c r="AJ91"/>
      <c r="AK91" s="98"/>
    </row>
    <row r="92" spans="3:37" s="24" customFormat="1">
      <c r="C92" s="100"/>
      <c r="O92" s="118"/>
      <c r="P92" s="118"/>
      <c r="Q92" s="118"/>
      <c r="R92" s="118"/>
      <c r="S92" s="118"/>
      <c r="T92" s="118"/>
      <c r="U92" s="118"/>
      <c r="V92" s="118"/>
      <c r="W92" s="22" t="s">
        <v>398</v>
      </c>
      <c r="X92" s="29">
        <f>SUMIF(P2:P71, "TECHCONSUP", X2:X71)</f>
        <v>39.840000000000003</v>
      </c>
      <c r="Y92" s="27">
        <f>SUMIF(P2:P71, "TECHCONSUP", AB2:AB71)</f>
        <v>268198.62935808941</v>
      </c>
      <c r="Z92" s="27">
        <f>SUMIF(P2:P71, "TECHCONSUP", AC2:AC71)</f>
        <v>201148.97201856706</v>
      </c>
      <c r="AA92" s="27">
        <f>SUMIF(P2:P71, "TECHCONSUP", AD2:AD71)+SUMIF(P2:P71, "TECHCONSUP", AF2:AF71)</f>
        <v>67049.657339522353</v>
      </c>
      <c r="AB92" s="41">
        <f>+SUMIF(P2:P71, "TECHCONSUP", AE2:AE71)</f>
        <v>0</v>
      </c>
      <c r="AC92" s="56"/>
      <c r="AD92" s="9"/>
      <c r="AE92" s="9"/>
      <c r="AF92"/>
      <c r="AG92"/>
      <c r="AH92"/>
      <c r="AI92"/>
      <c r="AJ92"/>
      <c r="AK92" s="98"/>
    </row>
    <row r="93" spans="3:37" s="34" customFormat="1">
      <c r="C93" s="103"/>
      <c r="O93" s="155"/>
      <c r="P93" s="155"/>
      <c r="Q93" s="155"/>
      <c r="R93" s="155"/>
      <c r="S93" s="155"/>
      <c r="T93" s="155"/>
      <c r="U93" s="155"/>
      <c r="V93" s="155"/>
      <c r="W93" s="22" t="s">
        <v>339</v>
      </c>
      <c r="X93" s="29">
        <f>SUMIF(P2:P71, "HELPSUPP", X2:X71)</f>
        <v>64.733281964349942</v>
      </c>
      <c r="Y93" s="27">
        <f>SUMIF(P2:P71, "HELPSUPP", AB2:AB71)</f>
        <v>504782.64292531996</v>
      </c>
      <c r="Z93" s="27">
        <f>SUMIF(P2:P71, "HELPSUPP", AC2:AC71)</f>
        <v>126195.66073132999</v>
      </c>
      <c r="AA93" s="27">
        <f>SUMIF(P2:P71, "HELPSUPP", AD2:AD71)+SUMIF(P2:P71, "HELPSUPP", AF2:AF71)</f>
        <v>126195.66073132999</v>
      </c>
      <c r="AB93" s="41">
        <f>+SUMIF(P2:P71, "HELPSUPP", AE2:AE71)</f>
        <v>252391.32146266001</v>
      </c>
      <c r="AC93"/>
      <c r="AD93" s="9"/>
      <c r="AE93" s="9"/>
      <c r="AF93"/>
      <c r="AG93"/>
      <c r="AH93"/>
      <c r="AI93"/>
      <c r="AJ93"/>
      <c r="AK93" s="98"/>
    </row>
    <row r="94" spans="3:37" s="34" customFormat="1">
      <c r="C94" s="103"/>
      <c r="O94" s="155"/>
      <c r="P94" s="155"/>
      <c r="Q94" s="155"/>
      <c r="R94" s="155"/>
      <c r="S94" s="155"/>
      <c r="T94" s="155"/>
      <c r="U94" s="155"/>
      <c r="V94" s="155"/>
      <c r="W94" s="22" t="s">
        <v>399</v>
      </c>
      <c r="X94" s="29">
        <f>SUMIF(P2:P71, "MARKET", X2:X71)</f>
        <v>31.349999999999994</v>
      </c>
      <c r="Y94" s="27">
        <f>SUMIF(P2:P71, "MARKET", AB2:AB71)</f>
        <v>193097.14897450799</v>
      </c>
      <c r="Z94" s="27">
        <f>SUMIF(P2:P71, "MARKET", AC2:AC71)</f>
        <v>144822.86173088098</v>
      </c>
      <c r="AA94" s="27">
        <f>SUMIF(P2:P71, "MARKET", AD2:AD71)+SUMIF(P2:P71, "MARKET", AF2:AF71)</f>
        <v>48274.287243627012</v>
      </c>
      <c r="AB94" s="41">
        <f>+SUMIF(P2:P71, "MARKET", AE2:AE71)</f>
        <v>0</v>
      </c>
      <c r="AC94"/>
      <c r="AD94" s="9"/>
      <c r="AE94" s="9"/>
      <c r="AF94"/>
      <c r="AG94"/>
      <c r="AH94"/>
      <c r="AI94"/>
      <c r="AJ94"/>
      <c r="AK94" s="98"/>
    </row>
    <row r="95" spans="3:37" s="34" customFormat="1">
      <c r="C95" s="103"/>
      <c r="O95" s="155"/>
      <c r="P95" s="155"/>
      <c r="Q95" s="155"/>
      <c r="R95" s="155"/>
      <c r="S95" s="155"/>
      <c r="T95" s="155"/>
      <c r="U95" s="155"/>
      <c r="V95" s="155"/>
      <c r="W95" s="22" t="s">
        <v>28</v>
      </c>
      <c r="X95" s="29">
        <f>SUMIF(P2:P71, "OUT", X2:X71)</f>
        <v>28.164814348646949</v>
      </c>
      <c r="Y95" s="27">
        <f>SUMIF(P2:P71, "OUT", AB2:AB71)</f>
        <v>231806.65837650641</v>
      </c>
      <c r="Z95" s="27">
        <f>SUMIF(P2:P71, "OUT", AC2:AC71)</f>
        <v>162409.57618237979</v>
      </c>
      <c r="AA95" s="27">
        <f>SUMIF(P2:P71, "OUT", AD2:AD71)+SUMIF(P2:P71, "OUT", AF2:AF71)</f>
        <v>57951.664594126596</v>
      </c>
      <c r="AB95" s="41">
        <f>+SUMIF(P2:P71, "OUT", AE2:AE71)</f>
        <v>11445.417600000001</v>
      </c>
      <c r="AC95"/>
      <c r="AD95" s="9"/>
      <c r="AE95" s="9"/>
      <c r="AF95"/>
      <c r="AG95"/>
      <c r="AH95"/>
      <c r="AI95"/>
      <c r="AJ95"/>
      <c r="AK95" s="98"/>
    </row>
    <row r="96" spans="3:37" s="34" customFormat="1">
      <c r="C96" s="103"/>
      <c r="O96" s="155"/>
      <c r="P96" s="155"/>
      <c r="Q96" s="155"/>
      <c r="R96" s="155"/>
      <c r="S96" s="155"/>
      <c r="T96" s="155"/>
      <c r="U96" s="155"/>
      <c r="V96" s="155"/>
      <c r="W96" s="22" t="s">
        <v>237</v>
      </c>
      <c r="X96" s="29">
        <f>SUMIF(P2:P71, "TMP", X2:X71)</f>
        <v>5.9552734129478235</v>
      </c>
      <c r="Y96" s="27">
        <f>SUMIF(P2:P71, "TMP", AB2:AB71)</f>
        <v>34204.970999999998</v>
      </c>
      <c r="Z96" s="27">
        <f>SUMIF(P2:P71, "TMP", AC2:AC71)</f>
        <v>8551.2427499999994</v>
      </c>
      <c r="AA96" s="27">
        <f>SUMIF(P2:P71, "TMP", AD2:AD71)+SUMIF(P2:P71, "TMP", AF2:AF71)</f>
        <v>8551.2427499999994</v>
      </c>
      <c r="AB96" s="41">
        <f>+SUMIF(P2:P71, "TMP", AE2:AE71)</f>
        <v>17102.485500000003</v>
      </c>
      <c r="AC96"/>
      <c r="AD96" s="9"/>
      <c r="AE96" s="9"/>
      <c r="AF96"/>
      <c r="AG96"/>
      <c r="AH96"/>
      <c r="AI96"/>
      <c r="AJ96"/>
      <c r="AK96" s="98"/>
    </row>
    <row r="97" spans="3:37" s="34" customFormat="1">
      <c r="C97" s="103"/>
      <c r="O97" s="155"/>
      <c r="P97" s="155"/>
      <c r="Q97" s="155"/>
      <c r="R97" s="155"/>
      <c r="S97" s="155"/>
      <c r="T97" s="155"/>
      <c r="U97" s="155"/>
      <c r="V97" s="155"/>
      <c r="W97" s="22" t="s">
        <v>148</v>
      </c>
      <c r="X97" s="29">
        <f>SUMIF(P2:P71, "APPDB", X2:X71)</f>
        <v>7.9315047619047556</v>
      </c>
      <c r="Y97" s="27">
        <f>SUMIF(P2:P71, "APPDB", AB2:AB71)</f>
        <v>66065.84</v>
      </c>
      <c r="Z97" s="27">
        <f>SUMIF(P2:P71, "APPDB", AC2:AC71)</f>
        <v>16516.46</v>
      </c>
      <c r="AA97" s="27">
        <f>SUMIF(P2:P71, "APPDB", AD2:AD71)+SUMIF(P2:P71, "APPDB", AF2:AF71)</f>
        <v>16516.46</v>
      </c>
      <c r="AB97" s="41">
        <f>+SUMIF(P2:P71,"APPDB", AE2:AE71)</f>
        <v>33032.92</v>
      </c>
      <c r="AC97"/>
      <c r="AD97" s="9"/>
      <c r="AE97" s="9"/>
      <c r="AF97"/>
      <c r="AG97"/>
      <c r="AH97"/>
      <c r="AI97"/>
      <c r="AJ97"/>
      <c r="AK97" s="98"/>
    </row>
    <row r="98" spans="3:37" s="34" customFormat="1">
      <c r="C98" s="103"/>
      <c r="O98" s="155"/>
      <c r="P98" s="155"/>
      <c r="Q98" s="155"/>
      <c r="R98" s="155"/>
      <c r="S98" s="155"/>
      <c r="T98" s="155"/>
      <c r="U98" s="155"/>
      <c r="V98" s="155"/>
      <c r="W98" s="22" t="s">
        <v>356</v>
      </c>
      <c r="X98" s="29">
        <f>SUMIF(P2:P71, "VALSOFTREPO", X2:X71)</f>
        <v>73.770112120266617</v>
      </c>
      <c r="Y98" s="27">
        <f>SUMIF(P2:P71, "VALSOFTREPO", AB2:AB71)</f>
        <v>403066.08287149499</v>
      </c>
      <c r="Z98" s="27">
        <f>SUMIF(P2:P71, "VALSOFTREPO", AC2:AC71)</f>
        <v>100766.52071787375</v>
      </c>
      <c r="AA98" s="27">
        <f>SUMIF(P2:P71, "VALSOFTREPO", AD2:AD71)+SUMIF(P2:P71, "VALSOFTREPO", AF2:AF71)</f>
        <v>100766.52071787375</v>
      </c>
      <c r="AB98" s="41">
        <f>+SUMIF(P2:P71, "VALSOFTREPO", AE2:AE71)</f>
        <v>201533.04143574752</v>
      </c>
      <c r="AC98"/>
      <c r="AD98" s="9"/>
      <c r="AE98" s="9"/>
      <c r="AF98"/>
      <c r="AG98"/>
      <c r="AH98"/>
      <c r="AI98"/>
      <c r="AJ98"/>
      <c r="AK98" s="98"/>
    </row>
    <row r="99" spans="3:37" s="34" customFormat="1">
      <c r="C99" s="103"/>
      <c r="O99" s="155"/>
      <c r="P99" s="155"/>
      <c r="Q99" s="155"/>
      <c r="R99" s="155"/>
      <c r="S99" s="155"/>
      <c r="T99" s="155"/>
      <c r="U99" s="155"/>
      <c r="V99" s="155"/>
      <c r="W99" s="22" t="s">
        <v>359</v>
      </c>
      <c r="X99" s="29">
        <f>SUMIF(P2:P71, "CORETECH", X2:X71)</f>
        <v>119.51931902317328</v>
      </c>
      <c r="Y99" s="27">
        <f>SUMIF(P2:P71, "CORETECH", AB2:AB71)</f>
        <v>1250191.5243099348</v>
      </c>
      <c r="Z99" s="27">
        <f>SUMIF(P2:P71, "CORETECH", AC2:AC71)</f>
        <v>350064.87845981051</v>
      </c>
      <c r="AA99" s="27">
        <f>SUMIF(P2:P71, "CORETECH", AD2:AD71)+SUMIF(P2:P71, "CORETECH", AF2:AF71)</f>
        <v>311642.05110693903</v>
      </c>
      <c r="AB99" s="41">
        <f>+SUMIF(P2:P71, "CORETECH", AE2:AE71)</f>
        <v>590495.8715431852</v>
      </c>
      <c r="AC99"/>
      <c r="AD99" s="9"/>
      <c r="AE99" s="9"/>
      <c r="AF99"/>
      <c r="AG99"/>
      <c r="AH99"/>
      <c r="AI99"/>
      <c r="AJ99"/>
      <c r="AK99" s="98"/>
    </row>
    <row r="100" spans="3:37" s="24" customFormat="1" ht="15" customHeight="1">
      <c r="C100" s="100"/>
      <c r="O100" s="118"/>
      <c r="P100" s="118"/>
      <c r="Q100" s="118"/>
      <c r="R100" s="118"/>
      <c r="S100" s="118"/>
      <c r="T100" s="118"/>
      <c r="U100" s="118"/>
      <c r="V100" s="118"/>
      <c r="W100" s="22"/>
      <c r="X100" s="30">
        <f>SUM(X85:X99)</f>
        <v>582.71307518731578</v>
      </c>
      <c r="Y100" s="107">
        <f>SUM(Y85:Y99)</f>
        <v>4753163.5895989202</v>
      </c>
      <c r="Z100" s="107">
        <f>SUM(Z85:Z99)</f>
        <v>2204483.7596733812</v>
      </c>
      <c r="AA100" s="107">
        <f>SUM(AA85:AA99)</f>
        <v>1140545.0345378607</v>
      </c>
      <c r="AB100" s="107">
        <f>SUM(AB85:AB99)</f>
        <v>1410146.072187678</v>
      </c>
      <c r="AC100" s="56"/>
      <c r="AD100" s="9"/>
      <c r="AE100" s="9"/>
      <c r="AF100"/>
      <c r="AG100"/>
      <c r="AH100"/>
      <c r="AI100"/>
      <c r="AJ100"/>
      <c r="AK100" s="98"/>
    </row>
    <row r="101" spans="3:37" s="24" customFormat="1">
      <c r="C101" s="100"/>
      <c r="E101" s="100"/>
      <c r="F101" s="100"/>
      <c r="G101" s="100"/>
      <c r="H101" s="100"/>
      <c r="O101" s="118"/>
      <c r="P101" s="118"/>
      <c r="Q101" s="118"/>
      <c r="R101" s="118"/>
      <c r="S101" s="118"/>
      <c r="T101" s="118"/>
      <c r="U101" s="118"/>
      <c r="V101" s="118"/>
      <c r="W101"/>
      <c r="X101"/>
      <c r="Y101"/>
      <c r="Z101"/>
      <c r="AA101"/>
      <c r="AB101"/>
      <c r="AC101"/>
      <c r="AD101" s="9"/>
      <c r="AE101" s="9"/>
      <c r="AF101" s="9"/>
      <c r="AG101"/>
      <c r="AH101"/>
      <c r="AI101"/>
      <c r="AJ101"/>
      <c r="AK101" s="98"/>
    </row>
    <row r="102" spans="3:37">
      <c r="E102" s="20"/>
      <c r="F102" s="21"/>
      <c r="G102" s="20"/>
      <c r="H102" s="20"/>
      <c r="I102" s="20"/>
      <c r="W102" s="9"/>
      <c r="X102" s="9"/>
      <c r="Y102" s="9"/>
      <c r="Z102" s="9"/>
      <c r="AA102" s="9"/>
      <c r="AK102" s="98"/>
    </row>
    <row r="103" spans="3:37">
      <c r="E103" s="20"/>
      <c r="F103" s="21"/>
      <c r="G103" s="20"/>
      <c r="H103" s="20"/>
      <c r="I103" s="20"/>
      <c r="W103" s="105" t="s">
        <v>246</v>
      </c>
      <c r="X103" s="27">
        <f>SUMIF(N2:N71, "EC", AB2:AB71)</f>
        <v>2311389.7596253497</v>
      </c>
      <c r="AG103" s="9"/>
      <c r="AH103" s="9"/>
      <c r="AI103" s="9"/>
      <c r="AK103" s="98"/>
    </row>
    <row r="104" spans="3:37">
      <c r="E104" s="20"/>
      <c r="F104" s="21"/>
      <c r="G104" s="20"/>
      <c r="H104" s="20"/>
      <c r="W104" s="105" t="s">
        <v>258</v>
      </c>
      <c r="X104" s="27">
        <f>SUMIF(N2:N71, "COMM", AB2:AB71)</f>
        <v>2441773.8299735701</v>
      </c>
      <c r="AC104" s="9"/>
      <c r="AJ104" s="9"/>
      <c r="AK104" s="98"/>
    </row>
    <row r="105" spans="3:37" s="9" customFormat="1" ht="15">
      <c r="C105" s="14"/>
      <c r="E105" s="20"/>
      <c r="F105" s="21"/>
      <c r="G105" s="20"/>
      <c r="H105" s="20"/>
      <c r="O105" s="156"/>
      <c r="P105" s="156"/>
      <c r="Q105" s="156"/>
      <c r="R105" s="156"/>
      <c r="S105" s="156"/>
      <c r="T105" s="156"/>
      <c r="U105" s="156"/>
      <c r="V105" s="152"/>
      <c r="W105"/>
      <c r="X105" s="106">
        <f>SUM(X103:X104)</f>
        <v>4753163.5895989202</v>
      </c>
      <c r="Y105"/>
      <c r="Z105"/>
      <c r="AA105"/>
      <c r="AC105"/>
      <c r="AG105"/>
      <c r="AH105"/>
      <c r="AI105"/>
      <c r="AJ105"/>
      <c r="AK105" s="98"/>
    </row>
    <row r="106" spans="3:37">
      <c r="E106" s="20"/>
      <c r="F106" s="21"/>
      <c r="G106" s="20"/>
      <c r="H106" s="20"/>
      <c r="I106" s="20"/>
      <c r="AK106" s="98"/>
    </row>
    <row r="107" spans="3:37">
      <c r="E107" s="20"/>
      <c r="F107" s="21"/>
      <c r="G107" s="20"/>
      <c r="H107" s="20"/>
      <c r="I107" s="20"/>
      <c r="AK107" s="98"/>
    </row>
    <row r="108" spans="3:37">
      <c r="F108" s="11"/>
      <c r="AK108" s="98"/>
    </row>
    <row r="109" spans="3:37">
      <c r="F109" s="11"/>
      <c r="AG109" s="9"/>
      <c r="AH109" s="9"/>
      <c r="AI109" s="9"/>
      <c r="AK109" s="98"/>
    </row>
    <row r="110" spans="3:37">
      <c r="F110" s="11"/>
      <c r="AC110" s="9"/>
      <c r="AJ110" s="9"/>
      <c r="AK110" s="98"/>
    </row>
    <row r="111" spans="3:37">
      <c r="F111" s="11"/>
      <c r="AB111" s="9"/>
      <c r="AK111" s="98"/>
    </row>
    <row r="112" spans="3:37" s="9" customFormat="1">
      <c r="C112" s="14"/>
      <c r="E112"/>
      <c r="F112" s="11"/>
      <c r="G112"/>
      <c r="H112"/>
      <c r="I112"/>
      <c r="O112" s="156"/>
      <c r="P112" s="156"/>
      <c r="Q112" s="156"/>
      <c r="R112" s="156"/>
      <c r="S112" s="156"/>
      <c r="T112" s="156"/>
      <c r="U112" s="156"/>
      <c r="V112" s="152"/>
      <c r="AB112"/>
      <c r="AC112"/>
      <c r="AG112"/>
      <c r="AH112"/>
      <c r="AI112"/>
      <c r="AJ112"/>
      <c r="AK112" s="98"/>
    </row>
    <row r="113" spans="3:37">
      <c r="F113" s="11"/>
      <c r="AG113" s="9"/>
      <c r="AH113" s="9"/>
      <c r="AI113" s="9"/>
      <c r="AK113" s="98"/>
    </row>
    <row r="114" spans="3:37">
      <c r="AC114" s="9"/>
      <c r="AJ114" s="9"/>
      <c r="AK114" s="98"/>
    </row>
    <row r="115" spans="3:37">
      <c r="E115" s="9"/>
      <c r="F115" s="9"/>
      <c r="G115" s="9"/>
      <c r="H115" s="9"/>
      <c r="I115" s="9"/>
      <c r="AB115" s="9"/>
      <c r="AK115" s="98"/>
    </row>
    <row r="116" spans="3:37" s="9" customFormat="1">
      <c r="C116" s="14"/>
      <c r="E116"/>
      <c r="F116"/>
      <c r="G116"/>
      <c r="H116"/>
      <c r="I116"/>
      <c r="O116" s="156"/>
      <c r="P116" s="156"/>
      <c r="Q116" s="156"/>
      <c r="R116" s="156"/>
      <c r="S116" s="156"/>
      <c r="T116" s="156"/>
      <c r="U116" s="156"/>
      <c r="V116" s="152"/>
      <c r="AB116"/>
      <c r="AC116"/>
      <c r="AG116"/>
      <c r="AH116"/>
      <c r="AI116"/>
      <c r="AJ116"/>
      <c r="AK116" s="98"/>
    </row>
    <row r="117" spans="3:37" ht="16" customHeight="1">
      <c r="AG117" s="9"/>
      <c r="AH117" s="9"/>
      <c r="AI117" s="9"/>
      <c r="AK117" s="9"/>
    </row>
    <row r="118" spans="3:37">
      <c r="M118" s="34"/>
      <c r="N118" s="34"/>
      <c r="O118" s="155"/>
      <c r="P118" s="155"/>
      <c r="Q118" s="155"/>
      <c r="R118" s="155"/>
      <c r="S118" s="155"/>
      <c r="T118" s="155"/>
      <c r="U118" s="155"/>
      <c r="AC118" s="9"/>
      <c r="AJ118" s="9"/>
      <c r="AK118" s="9"/>
    </row>
    <row r="119" spans="3:37">
      <c r="D119" s="9"/>
      <c r="E119" s="9"/>
      <c r="F119" s="9"/>
      <c r="G119" s="9"/>
      <c r="H119" s="9"/>
      <c r="I119" s="9"/>
      <c r="M119" s="34"/>
      <c r="N119" s="34"/>
      <c r="O119" s="155"/>
      <c r="P119" s="155"/>
      <c r="Q119" s="155"/>
      <c r="R119" s="155"/>
      <c r="S119" s="155"/>
      <c r="T119" s="155"/>
      <c r="U119" s="155"/>
      <c r="AB119" s="9"/>
    </row>
    <row r="120" spans="3:37">
      <c r="M120" s="24"/>
      <c r="N120" s="24"/>
      <c r="O120" s="118"/>
      <c r="P120" s="118"/>
      <c r="Q120" s="118"/>
      <c r="R120" s="118"/>
      <c r="S120" s="118"/>
      <c r="T120" s="118"/>
      <c r="U120" s="118"/>
      <c r="W120" s="9"/>
      <c r="X120" s="9"/>
      <c r="Y120" s="9"/>
      <c r="Z120" s="9"/>
      <c r="AA120" s="9"/>
    </row>
    <row r="121" spans="3:37">
      <c r="M121" s="24"/>
      <c r="N121" s="24"/>
      <c r="O121" s="118"/>
      <c r="P121" s="118"/>
      <c r="Q121" s="118"/>
      <c r="R121" s="118"/>
      <c r="S121" s="118"/>
      <c r="T121" s="118"/>
      <c r="U121" s="118"/>
      <c r="AG121" s="9"/>
      <c r="AH121" s="9"/>
      <c r="AI121" s="9"/>
    </row>
    <row r="122" spans="3:37">
      <c r="M122" s="24"/>
      <c r="N122" s="24"/>
      <c r="O122" s="118"/>
      <c r="P122" s="118"/>
      <c r="Q122" s="118"/>
      <c r="R122" s="118"/>
      <c r="S122" s="118"/>
      <c r="T122" s="118"/>
      <c r="U122" s="118"/>
      <c r="AC122" s="9"/>
      <c r="AJ122" s="9"/>
    </row>
    <row r="123" spans="3:37">
      <c r="AB123" s="9"/>
    </row>
    <row r="124" spans="3:37" s="9" customFormat="1">
      <c r="C124" s="14"/>
      <c r="O124" s="156"/>
      <c r="P124" s="156"/>
      <c r="Q124" s="156"/>
      <c r="R124" s="156"/>
      <c r="S124" s="156"/>
      <c r="T124" s="156"/>
      <c r="U124" s="156"/>
      <c r="V124" s="152"/>
      <c r="AB124"/>
      <c r="AC124"/>
      <c r="AG124"/>
      <c r="AH124"/>
      <c r="AI124"/>
      <c r="AJ124"/>
    </row>
    <row r="126" spans="3:37" s="9" customFormat="1">
      <c r="C126" s="14"/>
      <c r="O126" s="156"/>
      <c r="P126" s="156"/>
      <c r="Q126" s="156"/>
      <c r="R126" s="156"/>
      <c r="S126" s="156"/>
      <c r="T126" s="156"/>
      <c r="U126" s="156"/>
      <c r="V126" s="152"/>
      <c r="W126"/>
      <c r="X126"/>
      <c r="Y126"/>
      <c r="Z126"/>
      <c r="AA126"/>
      <c r="AB126"/>
      <c r="AC126"/>
      <c r="AG126"/>
      <c r="AH126"/>
      <c r="AI126"/>
      <c r="AJ126"/>
    </row>
    <row r="130" spans="1:36">
      <c r="N130" s="57"/>
      <c r="O130" s="157"/>
      <c r="P130" s="157"/>
      <c r="Q130" s="157"/>
      <c r="R130" s="157"/>
      <c r="S130" s="157"/>
      <c r="T130" s="157"/>
      <c r="U130" s="157"/>
    </row>
    <row r="132" spans="1:36">
      <c r="AG132" s="9"/>
      <c r="AH132" s="9"/>
      <c r="AI132" s="9"/>
    </row>
    <row r="133" spans="1:36">
      <c r="AC133" s="9"/>
      <c r="AJ133" s="9"/>
    </row>
    <row r="134" spans="1:36" s="9" customFormat="1">
      <c r="C134" s="14"/>
      <c r="O134" s="156"/>
      <c r="P134" s="156"/>
      <c r="Q134" s="156"/>
      <c r="R134" s="156"/>
      <c r="S134" s="156"/>
      <c r="T134" s="156"/>
      <c r="U134" s="156"/>
      <c r="V134" s="152"/>
      <c r="W134"/>
      <c r="X134"/>
      <c r="Y134"/>
      <c r="Z134"/>
      <c r="AA134"/>
      <c r="AC134"/>
      <c r="AG134"/>
      <c r="AH134"/>
      <c r="AI134"/>
      <c r="AJ134"/>
    </row>
    <row r="135" spans="1:36" s="9" customFormat="1">
      <c r="C135" s="14"/>
      <c r="O135" s="156"/>
      <c r="P135" s="156"/>
      <c r="Q135" s="156"/>
      <c r="R135" s="156"/>
      <c r="S135" s="156"/>
      <c r="T135" s="156"/>
      <c r="U135" s="156"/>
      <c r="V135" s="152"/>
      <c r="AB135"/>
      <c r="AC135"/>
      <c r="AG135"/>
      <c r="AH135"/>
      <c r="AI135"/>
      <c r="AJ135"/>
    </row>
    <row r="136" spans="1:36" s="9" customFormat="1">
      <c r="C136" s="14"/>
      <c r="O136" s="156"/>
      <c r="P136" s="156"/>
      <c r="Q136" s="156"/>
      <c r="R136" s="156"/>
      <c r="S136" s="156"/>
      <c r="T136" s="156"/>
      <c r="U136" s="156"/>
      <c r="V136" s="152"/>
      <c r="W136"/>
      <c r="X136"/>
      <c r="Y136"/>
      <c r="Z136"/>
      <c r="AA136"/>
      <c r="AB136"/>
      <c r="AC136"/>
      <c r="AG136"/>
      <c r="AH136"/>
      <c r="AI136"/>
      <c r="AJ136"/>
    </row>
    <row r="137" spans="1:36" s="9" customFormat="1">
      <c r="C137" s="14"/>
      <c r="O137" s="156"/>
      <c r="P137" s="156"/>
      <c r="Q137" s="156"/>
      <c r="R137" s="156"/>
      <c r="S137" s="156"/>
      <c r="T137" s="156"/>
      <c r="U137" s="156"/>
      <c r="V137" s="152"/>
      <c r="W137"/>
      <c r="X137"/>
      <c r="Y137"/>
      <c r="Z137"/>
      <c r="AA137"/>
      <c r="AB137"/>
      <c r="AC137"/>
      <c r="AG137"/>
      <c r="AH137"/>
      <c r="AI137"/>
      <c r="AJ137"/>
    </row>
    <row r="138" spans="1:36" s="9" customFormat="1">
      <c r="C138" s="14"/>
      <c r="O138" s="156"/>
      <c r="P138" s="156"/>
      <c r="Q138" s="156"/>
      <c r="R138" s="156"/>
      <c r="S138" s="156"/>
      <c r="T138" s="156"/>
      <c r="U138" s="156"/>
      <c r="V138" s="152"/>
      <c r="W138"/>
      <c r="X138"/>
      <c r="Y138"/>
      <c r="Z138"/>
      <c r="AA138"/>
      <c r="AB138"/>
      <c r="AC138"/>
      <c r="AG138"/>
      <c r="AH138"/>
      <c r="AI138"/>
      <c r="AJ138"/>
    </row>
    <row r="139" spans="1:36" s="9" customFormat="1">
      <c r="C139" s="14"/>
      <c r="O139" s="156"/>
      <c r="P139" s="156"/>
      <c r="Q139" s="156"/>
      <c r="R139" s="156"/>
      <c r="S139" s="156"/>
      <c r="T139" s="156"/>
      <c r="U139" s="156"/>
      <c r="V139" s="152"/>
      <c r="W139"/>
      <c r="X139"/>
      <c r="Y139"/>
      <c r="Z139"/>
      <c r="AA139"/>
      <c r="AB139"/>
      <c r="AC139"/>
      <c r="AG139"/>
      <c r="AH139"/>
      <c r="AI139"/>
      <c r="AJ139"/>
    </row>
    <row r="140" spans="1:36" s="9" customFormat="1">
      <c r="A140" s="13"/>
      <c r="C140" s="14"/>
      <c r="J140"/>
      <c r="K140"/>
      <c r="O140" s="156"/>
      <c r="P140" s="156"/>
      <c r="Q140" s="156"/>
      <c r="R140" s="156"/>
      <c r="S140" s="156"/>
      <c r="T140" s="156"/>
      <c r="U140" s="156"/>
      <c r="V140" s="152"/>
      <c r="W140"/>
      <c r="X140"/>
      <c r="Y140"/>
      <c r="Z140"/>
      <c r="AA140"/>
      <c r="AB140"/>
      <c r="AC140"/>
      <c r="AG140"/>
      <c r="AH140"/>
      <c r="AI140"/>
      <c r="AJ140"/>
    </row>
    <row r="141" spans="1:36" s="9" customFormat="1">
      <c r="A141" s="13"/>
      <c r="C141" s="14"/>
      <c r="J141"/>
      <c r="K141"/>
      <c r="O141" s="156"/>
      <c r="P141" s="156"/>
      <c r="Q141" s="156"/>
      <c r="R141" s="156"/>
      <c r="S141" s="156"/>
      <c r="T141" s="156"/>
      <c r="U141" s="156"/>
      <c r="V141" s="152"/>
      <c r="W141"/>
      <c r="X141"/>
      <c r="Y141"/>
      <c r="Z141"/>
      <c r="AA141"/>
      <c r="AB141"/>
      <c r="AC141"/>
      <c r="AG141"/>
      <c r="AH141"/>
      <c r="AI141"/>
      <c r="AJ141"/>
    </row>
    <row r="142" spans="1:36" s="9" customFormat="1">
      <c r="A142" s="13"/>
      <c r="C142" s="14"/>
      <c r="J142"/>
      <c r="K142"/>
      <c r="O142" s="156"/>
      <c r="P142" s="156"/>
      <c r="Q142" s="156"/>
      <c r="R142" s="156"/>
      <c r="S142" s="156"/>
      <c r="T142" s="156"/>
      <c r="U142" s="156"/>
      <c r="V142" s="152"/>
      <c r="W142"/>
      <c r="X142"/>
      <c r="Y142"/>
      <c r="Z142"/>
      <c r="AA142"/>
      <c r="AB142"/>
      <c r="AC142"/>
      <c r="AG142"/>
      <c r="AH142"/>
      <c r="AI142"/>
      <c r="AJ142"/>
    </row>
    <row r="143" spans="1:36" s="9" customFormat="1">
      <c r="A143" s="13"/>
      <c r="C143" s="14"/>
      <c r="J143"/>
      <c r="K143"/>
      <c r="O143" s="156"/>
      <c r="P143" s="156"/>
      <c r="Q143" s="156"/>
      <c r="R143" s="156"/>
      <c r="S143" s="156"/>
      <c r="T143" s="156"/>
      <c r="U143" s="156"/>
      <c r="V143" s="152"/>
      <c r="W143"/>
      <c r="X143"/>
      <c r="Y143"/>
      <c r="Z143"/>
      <c r="AA143"/>
      <c r="AB143"/>
      <c r="AC143"/>
      <c r="AG143"/>
      <c r="AH143"/>
      <c r="AI143"/>
      <c r="AJ143"/>
    </row>
    <row r="144" spans="1:36" s="9" customFormat="1">
      <c r="A144" s="13"/>
      <c r="C144" s="14"/>
      <c r="J144"/>
      <c r="K144"/>
      <c r="O144" s="156"/>
      <c r="P144" s="156"/>
      <c r="Q144" s="156"/>
      <c r="R144" s="156"/>
      <c r="S144" s="156"/>
      <c r="T144" s="156"/>
      <c r="U144" s="156"/>
      <c r="V144" s="152"/>
      <c r="W144"/>
      <c r="X144"/>
      <c r="Y144"/>
      <c r="Z144"/>
      <c r="AA144"/>
      <c r="AB144"/>
      <c r="AC144"/>
      <c r="AG144"/>
      <c r="AH144"/>
      <c r="AI144"/>
      <c r="AJ144"/>
    </row>
    <row r="145" spans="1:36" s="9" customFormat="1">
      <c r="A145" s="13"/>
      <c r="C145" s="14"/>
      <c r="J145"/>
      <c r="K145"/>
      <c r="O145" s="156"/>
      <c r="P145" s="156"/>
      <c r="Q145" s="156"/>
      <c r="R145" s="156"/>
      <c r="S145" s="156"/>
      <c r="T145" s="156"/>
      <c r="U145" s="156"/>
      <c r="V145" s="152"/>
      <c r="W145"/>
      <c r="X145"/>
      <c r="Y145"/>
      <c r="Z145"/>
      <c r="AA145"/>
      <c r="AB145"/>
      <c r="AC145"/>
      <c r="AG145"/>
      <c r="AH145"/>
      <c r="AI145"/>
      <c r="AJ145"/>
    </row>
    <row r="146" spans="1:36" s="9" customFormat="1">
      <c r="A146" s="13"/>
      <c r="C146" s="14"/>
      <c r="J146"/>
      <c r="K146"/>
      <c r="O146" s="156"/>
      <c r="P146" s="156"/>
      <c r="Q146" s="156"/>
      <c r="R146" s="156"/>
      <c r="S146" s="156"/>
      <c r="T146" s="156"/>
      <c r="U146" s="156"/>
      <c r="V146" s="152"/>
      <c r="W146"/>
      <c r="X146"/>
      <c r="Y146"/>
      <c r="Z146"/>
      <c r="AA146"/>
      <c r="AB146"/>
      <c r="AC146"/>
      <c r="AG146"/>
      <c r="AH146"/>
      <c r="AI146"/>
      <c r="AJ146"/>
    </row>
    <row r="147" spans="1:36" s="9" customFormat="1">
      <c r="A147" s="13"/>
      <c r="C147" s="14"/>
      <c r="J147"/>
      <c r="K147"/>
      <c r="O147" s="156"/>
      <c r="P147" s="156"/>
      <c r="Q147" s="156"/>
      <c r="R147" s="156"/>
      <c r="S147" s="156"/>
      <c r="T147" s="156"/>
      <c r="U147" s="156"/>
      <c r="V147" s="152"/>
      <c r="W147"/>
      <c r="X147"/>
      <c r="Y147"/>
      <c r="Z147"/>
      <c r="AA147"/>
      <c r="AB147"/>
      <c r="AC147"/>
      <c r="AG147"/>
      <c r="AH147"/>
      <c r="AI147"/>
      <c r="AJ147"/>
    </row>
    <row r="148" spans="1:36" s="9" customFormat="1">
      <c r="A148" s="13"/>
      <c r="C148" s="14"/>
      <c r="J148"/>
      <c r="K148"/>
      <c r="O148" s="156"/>
      <c r="P148" s="156"/>
      <c r="Q148" s="156"/>
      <c r="R148" s="156"/>
      <c r="S148" s="156"/>
      <c r="T148" s="156"/>
      <c r="U148" s="156"/>
      <c r="V148" s="152"/>
      <c r="W148"/>
      <c r="X148"/>
      <c r="Y148"/>
      <c r="Z148"/>
      <c r="AA148"/>
      <c r="AB148"/>
      <c r="AC148"/>
      <c r="AG148"/>
      <c r="AH148"/>
      <c r="AI148"/>
      <c r="AJ148"/>
    </row>
    <row r="149" spans="1:36" s="9" customFormat="1">
      <c r="A149" s="13"/>
      <c r="C149" s="14"/>
      <c r="J149"/>
      <c r="K149"/>
      <c r="O149" s="156"/>
      <c r="P149" s="156"/>
      <c r="Q149" s="156"/>
      <c r="R149" s="156"/>
      <c r="S149" s="156"/>
      <c r="T149" s="156"/>
      <c r="U149" s="156"/>
      <c r="V149" s="152"/>
      <c r="W149"/>
      <c r="X149"/>
      <c r="Y149"/>
      <c r="Z149"/>
      <c r="AA149"/>
      <c r="AB149"/>
      <c r="AC149"/>
      <c r="AG149"/>
      <c r="AH149"/>
      <c r="AI149"/>
      <c r="AJ149"/>
    </row>
    <row r="150" spans="1:36" s="9" customFormat="1">
      <c r="A150" s="13"/>
      <c r="C150" s="14"/>
      <c r="J150"/>
      <c r="K150"/>
      <c r="O150" s="156"/>
      <c r="P150" s="156"/>
      <c r="Q150" s="156"/>
      <c r="R150" s="156"/>
      <c r="S150" s="156"/>
      <c r="T150" s="156"/>
      <c r="U150" s="156"/>
      <c r="V150" s="152"/>
      <c r="W150"/>
      <c r="X150"/>
      <c r="Y150"/>
      <c r="Z150"/>
      <c r="AA150"/>
      <c r="AB150"/>
      <c r="AC150"/>
      <c r="AG150"/>
      <c r="AH150"/>
      <c r="AI150"/>
      <c r="AJ150"/>
    </row>
    <row r="151" spans="1:36" s="9" customFormat="1">
      <c r="A151" s="13"/>
      <c r="C151" s="14"/>
      <c r="J151"/>
      <c r="K151"/>
      <c r="O151" s="156"/>
      <c r="P151" s="156"/>
      <c r="Q151" s="156"/>
      <c r="R151" s="156"/>
      <c r="S151" s="156"/>
      <c r="T151" s="156"/>
      <c r="U151" s="156"/>
      <c r="V151" s="152"/>
      <c r="W151"/>
      <c r="X151"/>
      <c r="Y151"/>
      <c r="Z151"/>
      <c r="AA151"/>
      <c r="AB151"/>
      <c r="AC151"/>
      <c r="AG151"/>
      <c r="AH151"/>
      <c r="AI151"/>
      <c r="AJ151"/>
    </row>
    <row r="152" spans="1:36" s="9" customFormat="1">
      <c r="A152" s="13"/>
      <c r="C152" s="14"/>
      <c r="J152"/>
      <c r="K152"/>
      <c r="O152" s="156"/>
      <c r="P152" s="156"/>
      <c r="Q152" s="156"/>
      <c r="R152" s="156"/>
      <c r="S152" s="156"/>
      <c r="T152" s="156"/>
      <c r="U152" s="156"/>
      <c r="V152" s="152"/>
      <c r="W152"/>
      <c r="X152"/>
      <c r="Y152"/>
      <c r="Z152"/>
      <c r="AA152"/>
      <c r="AB152"/>
      <c r="AC152"/>
      <c r="AG152"/>
      <c r="AH152"/>
      <c r="AI152"/>
      <c r="AJ152"/>
    </row>
    <row r="153" spans="1:36" s="9" customFormat="1">
      <c r="A153" s="13"/>
      <c r="C153" s="14"/>
      <c r="J153"/>
      <c r="K153"/>
      <c r="O153" s="156"/>
      <c r="P153" s="156"/>
      <c r="Q153" s="156"/>
      <c r="R153" s="156"/>
      <c r="S153" s="156"/>
      <c r="T153" s="156"/>
      <c r="U153" s="156"/>
      <c r="V153" s="152"/>
      <c r="W153"/>
      <c r="X153"/>
      <c r="Y153"/>
      <c r="Z153"/>
      <c r="AA153"/>
      <c r="AB153"/>
      <c r="AC153"/>
      <c r="AG153"/>
      <c r="AH153"/>
      <c r="AI153"/>
      <c r="AJ153"/>
    </row>
    <row r="154" spans="1:36" s="9" customFormat="1">
      <c r="A154" s="13"/>
      <c r="C154" s="14"/>
      <c r="J154"/>
      <c r="K154"/>
      <c r="O154" s="156"/>
      <c r="P154" s="156"/>
      <c r="Q154" s="156"/>
      <c r="R154" s="156"/>
      <c r="S154" s="156"/>
      <c r="T154" s="156"/>
      <c r="U154" s="156"/>
      <c r="V154" s="152"/>
      <c r="W154"/>
      <c r="X154"/>
      <c r="Y154"/>
      <c r="Z154"/>
      <c r="AA154"/>
      <c r="AB154"/>
      <c r="AC154"/>
      <c r="AG154"/>
      <c r="AH154"/>
      <c r="AI154"/>
      <c r="AJ154"/>
    </row>
    <row r="155" spans="1:36" s="9" customFormat="1">
      <c r="A155" s="13"/>
      <c r="C155" s="14"/>
      <c r="J155"/>
      <c r="K155"/>
      <c r="O155" s="156"/>
      <c r="P155" s="156"/>
      <c r="Q155" s="156"/>
      <c r="R155" s="156"/>
      <c r="S155" s="156"/>
      <c r="T155" s="156"/>
      <c r="U155" s="156"/>
      <c r="V155" s="152"/>
      <c r="W155"/>
      <c r="X155"/>
      <c r="Y155"/>
      <c r="Z155"/>
      <c r="AA155"/>
      <c r="AB155"/>
      <c r="AC155"/>
      <c r="AG155"/>
      <c r="AH155"/>
      <c r="AI155"/>
      <c r="AJ155"/>
    </row>
    <row r="156" spans="1:36" s="9" customFormat="1">
      <c r="A156" s="13"/>
      <c r="C156" s="14"/>
      <c r="J156"/>
      <c r="K156"/>
      <c r="O156" s="156"/>
      <c r="P156" s="156"/>
      <c r="Q156" s="156"/>
      <c r="R156" s="156"/>
      <c r="S156" s="156"/>
      <c r="T156" s="156"/>
      <c r="U156" s="156"/>
      <c r="V156" s="152"/>
      <c r="W156"/>
      <c r="X156"/>
      <c r="Y156"/>
      <c r="Z156"/>
      <c r="AA156"/>
      <c r="AB156"/>
      <c r="AC156"/>
      <c r="AG156"/>
      <c r="AH156"/>
      <c r="AI156"/>
      <c r="AJ156"/>
    </row>
    <row r="157" spans="1:36" s="9" customFormat="1">
      <c r="A157" s="13"/>
      <c r="C157" s="14"/>
      <c r="J157"/>
      <c r="K157"/>
      <c r="O157" s="156"/>
      <c r="P157" s="156"/>
      <c r="Q157" s="156"/>
      <c r="R157" s="156"/>
      <c r="S157" s="156"/>
      <c r="T157" s="156"/>
      <c r="U157" s="156"/>
      <c r="V157" s="152"/>
      <c r="W157"/>
      <c r="X157"/>
      <c r="Y157"/>
      <c r="Z157"/>
      <c r="AA157"/>
      <c r="AB157"/>
      <c r="AC157"/>
      <c r="AG157"/>
      <c r="AH157"/>
      <c r="AI157"/>
      <c r="AJ157"/>
    </row>
    <row r="158" spans="1:36" s="9" customFormat="1">
      <c r="A158" s="13"/>
      <c r="C158" s="14"/>
      <c r="J158"/>
      <c r="K158"/>
      <c r="O158" s="156"/>
      <c r="P158" s="156"/>
      <c r="Q158" s="156"/>
      <c r="R158" s="156"/>
      <c r="S158" s="156"/>
      <c r="T158" s="156"/>
      <c r="U158" s="156"/>
      <c r="V158" s="152"/>
      <c r="W158"/>
      <c r="X158"/>
      <c r="Y158"/>
      <c r="Z158"/>
      <c r="AA158"/>
      <c r="AB158"/>
      <c r="AC158"/>
      <c r="AG158"/>
      <c r="AH158"/>
      <c r="AI158"/>
      <c r="AJ158"/>
    </row>
    <row r="159" spans="1:36" s="9" customFormat="1">
      <c r="A159" s="13"/>
      <c r="C159" s="14"/>
      <c r="J159"/>
      <c r="K159"/>
      <c r="O159" s="156"/>
      <c r="P159" s="156"/>
      <c r="Q159" s="156"/>
      <c r="R159" s="156"/>
      <c r="S159" s="156"/>
      <c r="T159" s="156"/>
      <c r="U159" s="156"/>
      <c r="V159" s="152"/>
      <c r="W159"/>
      <c r="X159"/>
      <c r="Y159"/>
      <c r="Z159"/>
      <c r="AA159"/>
      <c r="AB159"/>
      <c r="AC159"/>
      <c r="AG159"/>
      <c r="AH159"/>
      <c r="AI159"/>
      <c r="AJ159"/>
    </row>
    <row r="160" spans="1:36" s="9" customFormat="1">
      <c r="A160" s="13"/>
      <c r="C160" s="14"/>
      <c r="J160"/>
      <c r="K160"/>
      <c r="O160" s="156"/>
      <c r="P160" s="156"/>
      <c r="Q160" s="156"/>
      <c r="R160" s="156"/>
      <c r="S160" s="156"/>
      <c r="T160" s="156"/>
      <c r="U160" s="156"/>
      <c r="V160" s="152"/>
      <c r="W160"/>
      <c r="X160"/>
      <c r="Y160"/>
      <c r="Z160"/>
      <c r="AA160"/>
      <c r="AB160"/>
      <c r="AC160"/>
      <c r="AG160"/>
      <c r="AH160"/>
      <c r="AI160"/>
      <c r="AJ160"/>
    </row>
    <row r="161" spans="1:36" s="9" customFormat="1">
      <c r="A161" s="13"/>
      <c r="C161" s="14"/>
      <c r="J161"/>
      <c r="K161"/>
      <c r="O161" s="156"/>
      <c r="P161" s="156"/>
      <c r="Q161" s="156"/>
      <c r="R161" s="156"/>
      <c r="S161" s="156"/>
      <c r="T161" s="156"/>
      <c r="U161" s="156"/>
      <c r="V161" s="152"/>
      <c r="W161"/>
      <c r="X161"/>
      <c r="Y161"/>
      <c r="Z161"/>
      <c r="AA161"/>
      <c r="AB161"/>
      <c r="AC161"/>
      <c r="AG161"/>
      <c r="AH161"/>
      <c r="AI161"/>
      <c r="AJ161"/>
    </row>
    <row r="162" spans="1:36" s="9" customFormat="1">
      <c r="A162" s="13"/>
      <c r="C162" s="14"/>
      <c r="J162"/>
      <c r="K162"/>
      <c r="O162" s="156"/>
      <c r="P162" s="156"/>
      <c r="Q162" s="156"/>
      <c r="R162" s="156"/>
      <c r="S162" s="156"/>
      <c r="T162" s="156"/>
      <c r="U162" s="156"/>
      <c r="V162" s="152"/>
      <c r="W162"/>
      <c r="X162"/>
      <c r="Y162"/>
      <c r="Z162"/>
      <c r="AA162"/>
      <c r="AB162"/>
      <c r="AC162"/>
      <c r="AG162"/>
      <c r="AH162"/>
      <c r="AI162"/>
      <c r="AJ162"/>
    </row>
    <row r="163" spans="1:36" s="9" customFormat="1">
      <c r="A163" s="13"/>
      <c r="C163" s="14"/>
      <c r="J163"/>
      <c r="K163"/>
      <c r="O163" s="156"/>
      <c r="P163" s="156"/>
      <c r="Q163" s="156"/>
      <c r="R163" s="156"/>
      <c r="S163" s="156"/>
      <c r="T163" s="156"/>
      <c r="U163" s="156"/>
      <c r="V163" s="152"/>
      <c r="W163"/>
      <c r="X163"/>
      <c r="Y163"/>
      <c r="Z163"/>
      <c r="AA163"/>
      <c r="AB163"/>
      <c r="AC163"/>
      <c r="AG163"/>
      <c r="AH163"/>
      <c r="AI163"/>
      <c r="AJ163"/>
    </row>
    <row r="164" spans="1:36" s="9" customFormat="1">
      <c r="A164" s="13"/>
      <c r="C164" s="14"/>
      <c r="J164"/>
      <c r="K164"/>
      <c r="O164" s="156"/>
      <c r="P164" s="156"/>
      <c r="Q164" s="156"/>
      <c r="R164" s="156"/>
      <c r="S164" s="156"/>
      <c r="T164" s="156"/>
      <c r="U164" s="156"/>
      <c r="V164" s="152"/>
      <c r="W164"/>
      <c r="X164"/>
      <c r="Y164"/>
      <c r="Z164"/>
      <c r="AA164"/>
      <c r="AB164"/>
      <c r="AC164"/>
      <c r="AG164"/>
      <c r="AH164"/>
      <c r="AI164"/>
      <c r="AJ164"/>
    </row>
    <row r="165" spans="1:36" s="9" customFormat="1">
      <c r="A165" s="13"/>
      <c r="C165" s="14"/>
      <c r="J165"/>
      <c r="K165"/>
      <c r="O165" s="156"/>
      <c r="P165" s="156"/>
      <c r="Q165" s="156"/>
      <c r="R165" s="156"/>
      <c r="S165" s="156"/>
      <c r="T165" s="156"/>
      <c r="U165" s="156"/>
      <c r="V165" s="152"/>
      <c r="W165"/>
      <c r="X165"/>
      <c r="Y165"/>
      <c r="Z165"/>
      <c r="AA165"/>
      <c r="AB165"/>
      <c r="AC165"/>
      <c r="AG165"/>
      <c r="AH165"/>
      <c r="AI165"/>
      <c r="AJ165"/>
    </row>
    <row r="166" spans="1:36" s="9" customFormat="1">
      <c r="A166" s="13"/>
      <c r="C166" s="14"/>
      <c r="J166"/>
      <c r="K166"/>
      <c r="O166" s="156"/>
      <c r="P166" s="156"/>
      <c r="Q166" s="156"/>
      <c r="R166" s="156"/>
      <c r="S166" s="156"/>
      <c r="T166" s="156"/>
      <c r="U166" s="156"/>
      <c r="V166" s="152"/>
      <c r="W166"/>
      <c r="X166"/>
      <c r="Y166"/>
      <c r="Z166"/>
      <c r="AA166"/>
      <c r="AB166"/>
      <c r="AC166"/>
      <c r="AG166"/>
      <c r="AH166"/>
      <c r="AI166"/>
      <c r="AJ166"/>
    </row>
    <row r="167" spans="1:36" s="9" customFormat="1">
      <c r="A167" s="13"/>
      <c r="C167" s="14"/>
      <c r="J167"/>
      <c r="K167"/>
      <c r="O167" s="156"/>
      <c r="P167" s="156"/>
      <c r="Q167" s="156"/>
      <c r="R167" s="156"/>
      <c r="S167" s="156"/>
      <c r="T167" s="156"/>
      <c r="U167" s="156"/>
      <c r="V167" s="152"/>
      <c r="W167"/>
      <c r="X167"/>
      <c r="Y167"/>
      <c r="Z167"/>
      <c r="AA167"/>
      <c r="AB167"/>
      <c r="AC167"/>
      <c r="AG167"/>
      <c r="AH167"/>
      <c r="AI167"/>
      <c r="AJ167"/>
    </row>
    <row r="168" spans="1:36" s="9" customFormat="1">
      <c r="A168" s="13"/>
      <c r="C168" s="14"/>
      <c r="J168"/>
      <c r="K168"/>
      <c r="O168" s="156"/>
      <c r="P168" s="156"/>
      <c r="Q168" s="156"/>
      <c r="R168" s="156"/>
      <c r="S168" s="156"/>
      <c r="T168" s="156"/>
      <c r="U168" s="156"/>
      <c r="V168" s="152"/>
      <c r="W168"/>
      <c r="X168"/>
      <c r="Y168"/>
      <c r="Z168"/>
      <c r="AA168"/>
      <c r="AB168"/>
      <c r="AC168"/>
      <c r="AG168"/>
      <c r="AH168"/>
      <c r="AI168"/>
      <c r="AJ168"/>
    </row>
    <row r="169" spans="1:36" s="9" customFormat="1">
      <c r="A169" s="13"/>
      <c r="C169" s="14"/>
      <c r="J169"/>
      <c r="K169"/>
      <c r="O169" s="156"/>
      <c r="P169" s="156"/>
      <c r="Q169" s="156"/>
      <c r="R169" s="156"/>
      <c r="S169" s="156"/>
      <c r="T169" s="156"/>
      <c r="U169" s="156"/>
      <c r="V169" s="152"/>
      <c r="W169"/>
      <c r="X169"/>
      <c r="Y169"/>
      <c r="Z169"/>
      <c r="AA169"/>
      <c r="AB169"/>
      <c r="AC169"/>
      <c r="AG169"/>
      <c r="AH169"/>
      <c r="AI169"/>
      <c r="AJ169"/>
    </row>
    <row r="170" spans="1:36" s="9" customFormat="1">
      <c r="A170" s="13"/>
      <c r="C170" s="14"/>
      <c r="J170"/>
      <c r="K170"/>
      <c r="O170" s="156"/>
      <c r="P170" s="156"/>
      <c r="Q170" s="156"/>
      <c r="R170" s="156"/>
      <c r="S170" s="156"/>
      <c r="T170" s="156"/>
      <c r="U170" s="156"/>
      <c r="V170" s="152"/>
      <c r="W170"/>
      <c r="X170"/>
      <c r="Y170"/>
      <c r="Z170"/>
      <c r="AA170"/>
      <c r="AB170"/>
      <c r="AC170"/>
      <c r="AG170"/>
      <c r="AH170"/>
      <c r="AI170"/>
      <c r="AJ170"/>
    </row>
    <row r="171" spans="1:36">
      <c r="A171" s="16"/>
    </row>
    <row r="172" spans="1:36">
      <c r="A172" s="10"/>
    </row>
    <row r="173" spans="1:36">
      <c r="A173" s="12"/>
    </row>
    <row r="174" spans="1:36">
      <c r="A174" s="13"/>
    </row>
    <row r="175" spans="1:36">
      <c r="A175" s="10"/>
    </row>
    <row r="176" spans="1:36">
      <c r="A176" s="12"/>
    </row>
    <row r="177" spans="1:36">
      <c r="A177" s="13"/>
    </row>
    <row r="178" spans="1:36">
      <c r="A178" s="10"/>
    </row>
    <row r="179" spans="1:36">
      <c r="A179" s="12"/>
    </row>
    <row r="180" spans="1:36" s="9" customFormat="1">
      <c r="A180" s="13"/>
      <c r="C180" s="14"/>
      <c r="J180"/>
      <c r="K180"/>
      <c r="O180" s="156"/>
      <c r="P180" s="156"/>
      <c r="Q180" s="156"/>
      <c r="R180" s="156"/>
      <c r="S180" s="156"/>
      <c r="T180" s="156"/>
      <c r="U180" s="156"/>
      <c r="V180" s="152"/>
      <c r="W180"/>
      <c r="X180"/>
      <c r="Y180"/>
      <c r="Z180"/>
      <c r="AA180"/>
      <c r="AB180"/>
      <c r="AC180"/>
      <c r="AG180"/>
      <c r="AH180"/>
      <c r="AI180"/>
      <c r="AJ180"/>
    </row>
    <row r="181" spans="1:36">
      <c r="A181" s="16"/>
    </row>
    <row r="182" spans="1:36">
      <c r="A182" s="10"/>
    </row>
    <row r="183" spans="1:36">
      <c r="A183" s="12"/>
    </row>
    <row r="184" spans="1:36" s="9" customFormat="1">
      <c r="A184" s="13"/>
      <c r="C184" s="14"/>
      <c r="J184"/>
      <c r="K184"/>
      <c r="O184" s="156"/>
      <c r="P184" s="156"/>
      <c r="Q184" s="156"/>
      <c r="R184" s="156"/>
      <c r="S184" s="156"/>
      <c r="T184" s="156"/>
      <c r="U184" s="156"/>
      <c r="V184" s="152"/>
      <c r="W184"/>
      <c r="X184"/>
      <c r="Y184"/>
      <c r="Z184"/>
      <c r="AA184"/>
      <c r="AB184"/>
      <c r="AC184"/>
      <c r="AG184"/>
      <c r="AH184"/>
      <c r="AI184"/>
      <c r="AJ184"/>
    </row>
    <row r="185" spans="1:36">
      <c r="A185" s="16"/>
    </row>
    <row r="186" spans="1:36">
      <c r="A186" s="10"/>
    </row>
    <row r="187" spans="1:36">
      <c r="A187" s="12"/>
    </row>
    <row r="188" spans="1:36" s="9" customFormat="1">
      <c r="A188" s="13"/>
      <c r="C188" s="14"/>
      <c r="J188"/>
      <c r="K188"/>
      <c r="O188" s="156"/>
      <c r="P188" s="156"/>
      <c r="Q188" s="156"/>
      <c r="R188" s="156"/>
      <c r="S188" s="156"/>
      <c r="T188" s="156"/>
      <c r="U188" s="156"/>
      <c r="V188" s="152"/>
      <c r="W188"/>
      <c r="X188"/>
      <c r="Y188"/>
      <c r="Z188"/>
      <c r="AA188"/>
      <c r="AB188"/>
      <c r="AC188"/>
      <c r="AG188"/>
      <c r="AH188"/>
      <c r="AI188"/>
      <c r="AJ188"/>
    </row>
    <row r="189" spans="1:36">
      <c r="A189" s="16"/>
    </row>
    <row r="190" spans="1:36">
      <c r="A190" s="10"/>
    </row>
    <row r="191" spans="1:36">
      <c r="A191" s="12"/>
    </row>
    <row r="192" spans="1:36" s="9" customFormat="1">
      <c r="A192" s="13"/>
      <c r="C192" s="14"/>
      <c r="J192"/>
      <c r="K192"/>
      <c r="O192" s="156"/>
      <c r="P192" s="156"/>
      <c r="Q192" s="156"/>
      <c r="R192" s="156"/>
      <c r="S192" s="156"/>
      <c r="T192" s="156"/>
      <c r="U192" s="156"/>
      <c r="V192" s="152"/>
      <c r="W192"/>
      <c r="X192"/>
      <c r="Y192"/>
      <c r="Z192"/>
      <c r="AA192"/>
      <c r="AB192"/>
      <c r="AC192"/>
      <c r="AG192"/>
      <c r="AH192"/>
      <c r="AI192"/>
      <c r="AJ192"/>
    </row>
    <row r="193" spans="1:36">
      <c r="A193" s="16"/>
    </row>
    <row r="194" spans="1:36">
      <c r="A194" s="10"/>
    </row>
    <row r="195" spans="1:36">
      <c r="A195" s="12"/>
    </row>
    <row r="196" spans="1:36">
      <c r="A196" s="13"/>
    </row>
    <row r="197" spans="1:36">
      <c r="A197" s="10"/>
    </row>
    <row r="198" spans="1:36">
      <c r="A198" s="12"/>
    </row>
    <row r="199" spans="1:36">
      <c r="A199" s="13"/>
    </row>
    <row r="200" spans="1:36">
      <c r="A200" s="10"/>
    </row>
    <row r="201" spans="1:36">
      <c r="A201" s="12"/>
    </row>
    <row r="202" spans="1:36">
      <c r="A202" s="13"/>
    </row>
    <row r="203" spans="1:36" s="9" customFormat="1">
      <c r="A203" s="10"/>
      <c r="C203" s="14"/>
      <c r="J203"/>
      <c r="K203"/>
      <c r="O203" s="156"/>
      <c r="P203" s="156"/>
      <c r="Q203" s="156"/>
      <c r="R203" s="156"/>
      <c r="S203" s="156"/>
      <c r="T203" s="156"/>
      <c r="U203" s="156"/>
      <c r="V203" s="152"/>
      <c r="W203"/>
      <c r="X203"/>
      <c r="Y203"/>
      <c r="Z203"/>
      <c r="AA203"/>
      <c r="AB203"/>
      <c r="AC203"/>
      <c r="AG203"/>
      <c r="AH203"/>
      <c r="AI203"/>
      <c r="AJ203"/>
    </row>
    <row r="204" spans="1:36">
      <c r="A204" s="12"/>
    </row>
    <row r="205" spans="1:36">
      <c r="A205" s="13"/>
    </row>
    <row r="206" spans="1:36">
      <c r="A206" s="16"/>
    </row>
  </sheetData>
  <autoFilter ref="A1:AK1">
    <sortState ref="A2:AK72">
      <sortCondition ref="Q1:Q72"/>
    </sortState>
  </autoFilter>
  <sortState ref="V103:V168">
    <sortCondition ref="V103"/>
  </sortState>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AC169"/>
  <sheetViews>
    <sheetView workbookViewId="0">
      <pane ySplit="1" topLeftCell="A54" activePane="bottomLeft" state="frozen"/>
      <selection activeCell="L1" sqref="L1"/>
      <selection pane="bottomLeft" activeCell="A96" sqref="A96"/>
    </sheetView>
  </sheetViews>
  <sheetFormatPr baseColWidth="10" defaultColWidth="8.83203125" defaultRowHeight="14" x14ac:dyDescent="0"/>
  <cols>
    <col min="1" max="1" width="29.6640625" customWidth="1"/>
    <col min="2" max="2" width="21.33203125" customWidth="1"/>
    <col min="3" max="3" width="15.6640625" style="11" customWidth="1"/>
    <col min="4" max="4" width="11.1640625" customWidth="1"/>
    <col min="5" max="5" width="17.83203125" customWidth="1"/>
    <col min="6" max="6" width="19.1640625" bestFit="1" customWidth="1"/>
    <col min="7" max="7" width="13.33203125" bestFit="1" customWidth="1"/>
    <col min="8" max="8" width="12.83203125" bestFit="1" customWidth="1"/>
    <col min="9" max="9" width="24.6640625" customWidth="1"/>
    <col min="10" max="10" width="37.6640625" customWidth="1"/>
    <col min="11" max="11" width="19.1640625" customWidth="1"/>
    <col min="12" max="12" width="17.33203125" customWidth="1"/>
    <col min="13" max="14" width="13.33203125" customWidth="1"/>
    <col min="15" max="15" width="17.5" customWidth="1"/>
    <col min="16" max="16" width="15.5" customWidth="1"/>
    <col min="17" max="17" width="17.6640625" customWidth="1"/>
    <col min="18" max="18" width="18.6640625" customWidth="1"/>
    <col min="19" max="19" width="18.33203125" bestFit="1" customWidth="1"/>
    <col min="20" max="20" width="18.1640625" bestFit="1" customWidth="1"/>
    <col min="21" max="21" width="16.5" customWidth="1"/>
    <col min="22" max="22" width="16.6640625" style="9" customWidth="1"/>
    <col min="23" max="23" width="17.1640625" style="9" bestFit="1" customWidth="1"/>
    <col min="24" max="24" width="18.5" style="9" customWidth="1"/>
    <col min="25" max="25" width="15.5" customWidth="1"/>
    <col min="26" max="26" width="14.83203125" customWidth="1"/>
    <col min="27" max="27" width="12" customWidth="1"/>
    <col min="28" max="28" width="13.5" customWidth="1"/>
  </cols>
  <sheetData>
    <row r="1" spans="1:29" ht="60" customHeight="1">
      <c r="A1" s="1" t="s">
        <v>0</v>
      </c>
      <c r="B1" s="1" t="s">
        <v>1</v>
      </c>
      <c r="C1" s="1" t="s">
        <v>2</v>
      </c>
      <c r="D1" s="18" t="s">
        <v>3</v>
      </c>
      <c r="E1" s="18" t="s">
        <v>4</v>
      </c>
      <c r="F1" s="18" t="s">
        <v>5</v>
      </c>
      <c r="G1" s="18" t="s">
        <v>6</v>
      </c>
      <c r="H1" s="1" t="s">
        <v>7</v>
      </c>
      <c r="I1" s="1" t="s">
        <v>8</v>
      </c>
      <c r="J1" s="1" t="s">
        <v>9</v>
      </c>
      <c r="K1" s="1" t="s">
        <v>222</v>
      </c>
      <c r="L1" s="1" t="s">
        <v>235</v>
      </c>
      <c r="M1" s="1" t="s">
        <v>234</v>
      </c>
      <c r="N1" s="1" t="s">
        <v>245</v>
      </c>
      <c r="O1" s="18" t="s">
        <v>130</v>
      </c>
      <c r="P1" s="18" t="s">
        <v>244</v>
      </c>
      <c r="Q1" s="18" t="s">
        <v>128</v>
      </c>
      <c r="R1" s="18" t="s">
        <v>10</v>
      </c>
      <c r="S1" s="18" t="s">
        <v>11</v>
      </c>
      <c r="T1" s="18" t="s">
        <v>12</v>
      </c>
      <c r="U1" s="2" t="s">
        <v>13</v>
      </c>
      <c r="V1" s="43" t="s">
        <v>231</v>
      </c>
      <c r="W1" s="43" t="s">
        <v>232</v>
      </c>
      <c r="X1" s="43" t="s">
        <v>233</v>
      </c>
      <c r="Y1" s="18" t="s">
        <v>14</v>
      </c>
    </row>
    <row r="2" spans="1:29" s="24" customFormat="1" ht="15">
      <c r="A2" s="45" t="s">
        <v>40</v>
      </c>
      <c r="B2" s="46" t="s">
        <v>61</v>
      </c>
      <c r="C2" s="47" t="s">
        <v>42</v>
      </c>
      <c r="D2" s="3" t="s">
        <v>62</v>
      </c>
      <c r="E2" s="3" t="s">
        <v>63</v>
      </c>
      <c r="F2" s="4" t="s">
        <v>63</v>
      </c>
      <c r="G2" s="5">
        <v>0.25</v>
      </c>
      <c r="H2" s="7">
        <v>35</v>
      </c>
      <c r="I2" s="7" t="s">
        <v>125</v>
      </c>
      <c r="J2" s="4" t="s">
        <v>106</v>
      </c>
      <c r="K2" s="4" t="s">
        <v>193</v>
      </c>
      <c r="L2" s="4" t="s">
        <v>193</v>
      </c>
      <c r="M2" s="4" t="s">
        <v>191</v>
      </c>
      <c r="N2" s="4" t="s">
        <v>247</v>
      </c>
      <c r="O2" s="4">
        <v>14400</v>
      </c>
      <c r="P2" s="86">
        <v>5.9851851851851849</v>
      </c>
      <c r="Q2" s="48">
        <v>76602.811094363235</v>
      </c>
      <c r="R2" s="48">
        <v>46772.919806892533</v>
      </c>
      <c r="S2" s="48">
        <v>1352.0552504576467</v>
      </c>
      <c r="T2" s="48">
        <v>124727.78615171342</v>
      </c>
      <c r="U2" s="48">
        <f t="shared" ref="U2:U33" si="0">T2*G2</f>
        <v>31181.946537928354</v>
      </c>
      <c r="V2" s="48">
        <f t="shared" ref="V2:V33" si="1">IF(G2=25%,(T2*G2),0)</f>
        <v>31181.946537928354</v>
      </c>
      <c r="W2" s="48">
        <f>IF(G2=25%,T2-U2-V2,0)</f>
        <v>62363.893075856715</v>
      </c>
      <c r="X2" s="49">
        <f>IF(G2=25%,0,(T2-U2-V2))</f>
        <v>0</v>
      </c>
      <c r="Y2" s="50">
        <f t="shared" ref="Y2:Y33" si="2">SUM(U2:X2)</f>
        <v>124727.78615171343</v>
      </c>
      <c r="Z2" s="51">
        <f t="shared" ref="Z2:Z33" si="3">+Y2-T2</f>
        <v>0</v>
      </c>
      <c r="AA2" s="51">
        <f t="shared" ref="AA2:AA33" si="4">+T2/P2</f>
        <v>20839.419715942218</v>
      </c>
    </row>
    <row r="3" spans="1:29" s="24" customFormat="1" ht="15">
      <c r="A3" s="60" t="s">
        <v>40</v>
      </c>
      <c r="B3" s="61" t="s">
        <v>66</v>
      </c>
      <c r="C3" s="62" t="s">
        <v>67</v>
      </c>
      <c r="D3" s="63" t="s">
        <v>68</v>
      </c>
      <c r="E3" s="63" t="s">
        <v>76</v>
      </c>
      <c r="F3" s="64" t="s">
        <v>76</v>
      </c>
      <c r="G3" s="65">
        <v>0.4</v>
      </c>
      <c r="H3" s="66">
        <v>35</v>
      </c>
      <c r="I3" s="66" t="s">
        <v>125</v>
      </c>
      <c r="J3" s="64" t="s">
        <v>107</v>
      </c>
      <c r="K3" s="64" t="s">
        <v>193</v>
      </c>
      <c r="L3" s="64" t="s">
        <v>193</v>
      </c>
      <c r="M3" s="71" t="s">
        <v>224</v>
      </c>
      <c r="N3" s="64" t="s">
        <v>246</v>
      </c>
      <c r="O3" s="64">
        <v>14400</v>
      </c>
      <c r="P3" s="89"/>
      <c r="Q3" s="67"/>
      <c r="R3" s="67"/>
      <c r="S3" s="67"/>
      <c r="T3" s="67"/>
      <c r="U3" s="67">
        <f t="shared" si="0"/>
        <v>0</v>
      </c>
      <c r="V3" s="67">
        <f t="shared" si="1"/>
        <v>0</v>
      </c>
      <c r="W3" s="67">
        <f>IF(G3=25%,T3-U3-V3,0)+IF(G3=40%,T3-U3-V3,0)</f>
        <v>0</v>
      </c>
      <c r="X3" s="68">
        <v>0</v>
      </c>
      <c r="Y3" s="69">
        <f t="shared" si="2"/>
        <v>0</v>
      </c>
      <c r="Z3" s="70">
        <f t="shared" si="3"/>
        <v>0</v>
      </c>
      <c r="AA3" s="70" t="e">
        <f t="shared" si="4"/>
        <v>#DIV/0!</v>
      </c>
    </row>
    <row r="4" spans="1:29" s="24" customFormat="1" ht="15">
      <c r="A4" s="45" t="s">
        <v>40</v>
      </c>
      <c r="B4" s="46" t="s">
        <v>55</v>
      </c>
      <c r="C4" s="47" t="s">
        <v>42</v>
      </c>
      <c r="D4" s="3" t="s">
        <v>43</v>
      </c>
      <c r="E4" s="3" t="s">
        <v>277</v>
      </c>
      <c r="F4" s="4" t="s">
        <v>85</v>
      </c>
      <c r="G4" s="5">
        <v>0.25</v>
      </c>
      <c r="H4" s="7">
        <v>35</v>
      </c>
      <c r="I4" s="7" t="s">
        <v>125</v>
      </c>
      <c r="J4" s="4" t="s">
        <v>126</v>
      </c>
      <c r="K4" s="4" t="s">
        <v>210</v>
      </c>
      <c r="L4" s="4" t="s">
        <v>193</v>
      </c>
      <c r="M4" s="4" t="s">
        <v>191</v>
      </c>
      <c r="N4" s="4" t="s">
        <v>247</v>
      </c>
      <c r="O4" s="4">
        <v>14400</v>
      </c>
      <c r="P4" s="86">
        <v>18.074074074074076</v>
      </c>
      <c r="Q4" s="48">
        <v>230622.83727693133</v>
      </c>
      <c r="R4" s="48">
        <v>140296.14339211985</v>
      </c>
      <c r="S4" s="48">
        <v>3204.0683766017642</v>
      </c>
      <c r="T4" s="48">
        <v>374123.04904565291</v>
      </c>
      <c r="U4" s="48">
        <f t="shared" si="0"/>
        <v>93530.762261413227</v>
      </c>
      <c r="V4" s="48">
        <f t="shared" si="1"/>
        <v>93530.762261413227</v>
      </c>
      <c r="W4" s="48">
        <f>IF(G4=25%,T4-U4-V4,0)</f>
        <v>187061.52452282648</v>
      </c>
      <c r="X4" s="49">
        <f>IF(G4=25%,0,(T4-U4-V4))</f>
        <v>0</v>
      </c>
      <c r="Y4" s="50">
        <f t="shared" si="2"/>
        <v>374123.04904565297</v>
      </c>
      <c r="Z4" s="51">
        <f t="shared" si="3"/>
        <v>0</v>
      </c>
      <c r="AA4" s="51">
        <f t="shared" si="4"/>
        <v>20699.430992279973</v>
      </c>
    </row>
    <row r="5" spans="1:29" s="24" customFormat="1" ht="15">
      <c r="A5" s="45" t="s">
        <v>46</v>
      </c>
      <c r="B5" s="46" t="s">
        <v>46</v>
      </c>
      <c r="C5" s="47" t="s">
        <v>42</v>
      </c>
      <c r="D5" s="3" t="s">
        <v>47</v>
      </c>
      <c r="E5" s="3" t="s">
        <v>50</v>
      </c>
      <c r="F5" s="4" t="s">
        <v>50</v>
      </c>
      <c r="G5" s="5">
        <v>0.25</v>
      </c>
      <c r="H5" s="7">
        <v>9</v>
      </c>
      <c r="I5" s="7" t="s">
        <v>51</v>
      </c>
      <c r="J5" s="4" t="s">
        <v>52</v>
      </c>
      <c r="K5" s="4" t="s">
        <v>196</v>
      </c>
      <c r="L5" s="4" t="s">
        <v>197</v>
      </c>
      <c r="M5" s="4" t="s">
        <v>176</v>
      </c>
      <c r="N5" s="4" t="s">
        <v>247</v>
      </c>
      <c r="O5" s="4">
        <v>6580</v>
      </c>
      <c r="P5" s="86">
        <v>13.546666666666669</v>
      </c>
      <c r="Q5" s="48">
        <v>57609.62</v>
      </c>
      <c r="R5" s="48">
        <v>35522.645999999993</v>
      </c>
      <c r="S5" s="48">
        <v>1594.79</v>
      </c>
      <c r="T5" s="48">
        <v>94727.055999999997</v>
      </c>
      <c r="U5" s="48">
        <f t="shared" si="0"/>
        <v>23681.763999999999</v>
      </c>
      <c r="V5" s="48">
        <f t="shared" si="1"/>
        <v>23681.763999999999</v>
      </c>
      <c r="W5" s="48">
        <f>IF(G5=25%,T5-U5-V5,0)</f>
        <v>47363.528000000006</v>
      </c>
      <c r="X5" s="49">
        <f>IF(G5=25%,0,(T5-U5-V5))</f>
        <v>0</v>
      </c>
      <c r="Y5" s="50">
        <f t="shared" si="2"/>
        <v>94727.056000000011</v>
      </c>
      <c r="Z5" s="51">
        <f t="shared" si="3"/>
        <v>0</v>
      </c>
      <c r="AA5" s="51">
        <f t="shared" si="4"/>
        <v>6992.6468503936994</v>
      </c>
    </row>
    <row r="6" spans="1:29" s="24" customFormat="1" ht="15">
      <c r="A6" s="45" t="s">
        <v>46</v>
      </c>
      <c r="B6" s="46" t="s">
        <v>46</v>
      </c>
      <c r="C6" s="47" t="s">
        <v>42</v>
      </c>
      <c r="D6" s="3" t="s">
        <v>47</v>
      </c>
      <c r="E6" s="3" t="s">
        <v>53</v>
      </c>
      <c r="F6" s="4" t="s">
        <v>53</v>
      </c>
      <c r="G6" s="5">
        <v>0.25</v>
      </c>
      <c r="H6" s="7">
        <v>9</v>
      </c>
      <c r="I6" s="7" t="s">
        <v>51</v>
      </c>
      <c r="J6" s="4" t="s">
        <v>54</v>
      </c>
      <c r="K6" s="4" t="s">
        <v>218</v>
      </c>
      <c r="L6" s="4" t="s">
        <v>182</v>
      </c>
      <c r="M6" s="4" t="s">
        <v>167</v>
      </c>
      <c r="N6" s="4" t="s">
        <v>247</v>
      </c>
      <c r="O6" s="4">
        <v>6580</v>
      </c>
      <c r="P6" s="86">
        <v>11.500000000000002</v>
      </c>
      <c r="Q6" s="48">
        <v>45241.890000000007</v>
      </c>
      <c r="R6" s="48">
        <v>30424.86</v>
      </c>
      <c r="S6" s="48">
        <v>5466.2099999999991</v>
      </c>
      <c r="T6" s="48">
        <v>81132.959999999992</v>
      </c>
      <c r="U6" s="48">
        <f t="shared" si="0"/>
        <v>20283.239999999998</v>
      </c>
      <c r="V6" s="48">
        <f t="shared" si="1"/>
        <v>20283.239999999998</v>
      </c>
      <c r="W6" s="48">
        <f>IF(G6=25%,T6-U6-V6,0)</f>
        <v>40566.479999999996</v>
      </c>
      <c r="X6" s="49">
        <f>IF(G6=25%,0,(T6-U6-V6))</f>
        <v>0</v>
      </c>
      <c r="Y6" s="50">
        <f t="shared" si="2"/>
        <v>81132.959999999992</v>
      </c>
      <c r="Z6" s="51">
        <f t="shared" si="3"/>
        <v>0</v>
      </c>
      <c r="AA6" s="51">
        <f t="shared" si="4"/>
        <v>7055.0399999999981</v>
      </c>
    </row>
    <row r="7" spans="1:29" s="24" customFormat="1" ht="15" customHeight="1">
      <c r="A7" s="45" t="s">
        <v>46</v>
      </c>
      <c r="B7" s="46" t="s">
        <v>46</v>
      </c>
      <c r="C7" s="47" t="s">
        <v>42</v>
      </c>
      <c r="D7" s="3" t="s">
        <v>47</v>
      </c>
      <c r="E7" s="3" t="s">
        <v>286</v>
      </c>
      <c r="F7" s="4" t="s">
        <v>74</v>
      </c>
      <c r="G7" s="5">
        <v>0.25</v>
      </c>
      <c r="H7" s="7">
        <v>12</v>
      </c>
      <c r="I7" s="7" t="s">
        <v>73</v>
      </c>
      <c r="J7" s="4" t="s">
        <v>75</v>
      </c>
      <c r="K7" s="4" t="s">
        <v>162</v>
      </c>
      <c r="L7" s="4" t="s">
        <v>163</v>
      </c>
      <c r="M7" s="4" t="s">
        <v>164</v>
      </c>
      <c r="N7" s="4" t="s">
        <v>246</v>
      </c>
      <c r="O7" s="4">
        <v>7819</v>
      </c>
      <c r="P7" s="86">
        <v>11.919999999999998</v>
      </c>
      <c r="Q7" s="48">
        <v>38440</v>
      </c>
      <c r="R7" s="48">
        <v>27292.400000000001</v>
      </c>
      <c r="S7" s="48">
        <v>1135</v>
      </c>
      <c r="T7" s="48">
        <v>66867.399999999994</v>
      </c>
      <c r="U7" s="48">
        <f t="shared" si="0"/>
        <v>16716.849999999999</v>
      </c>
      <c r="V7" s="48">
        <f t="shared" si="1"/>
        <v>16716.849999999999</v>
      </c>
      <c r="W7" s="48">
        <f>IF(G7=25%,T7-U7-V7,0)</f>
        <v>33433.699999999997</v>
      </c>
      <c r="X7" s="49">
        <f>IF(G7=25%,0,(T7-U7-V7))</f>
        <v>0</v>
      </c>
      <c r="Y7" s="50">
        <f t="shared" si="2"/>
        <v>66867.399999999994</v>
      </c>
      <c r="Z7" s="51">
        <f t="shared" si="3"/>
        <v>0</v>
      </c>
      <c r="AA7" s="51">
        <f t="shared" si="4"/>
        <v>5609.681208053692</v>
      </c>
    </row>
    <row r="8" spans="1:29" s="24" customFormat="1" ht="15">
      <c r="A8" s="45" t="s">
        <v>40</v>
      </c>
      <c r="B8" s="46" t="s">
        <v>61</v>
      </c>
      <c r="C8" s="47" t="s">
        <v>42</v>
      </c>
      <c r="D8" s="3" t="s">
        <v>62</v>
      </c>
      <c r="E8" s="3" t="s">
        <v>63</v>
      </c>
      <c r="F8" s="4" t="s">
        <v>63</v>
      </c>
      <c r="G8" s="5">
        <v>0.25</v>
      </c>
      <c r="H8" s="7">
        <v>12</v>
      </c>
      <c r="I8" s="7" t="s">
        <v>77</v>
      </c>
      <c r="J8" s="4" t="s">
        <v>81</v>
      </c>
      <c r="K8" s="4" t="s">
        <v>190</v>
      </c>
      <c r="L8" s="4" t="s">
        <v>190</v>
      </c>
      <c r="M8" s="4" t="s">
        <v>191</v>
      </c>
      <c r="N8" s="4" t="s">
        <v>247</v>
      </c>
      <c r="O8" s="4">
        <v>7819</v>
      </c>
      <c r="P8" s="86">
        <f>4.37214885954382*50%</f>
        <v>2.1860744297719101</v>
      </c>
      <c r="Q8" s="48">
        <f>12467.78*50%</f>
        <v>6233.89</v>
      </c>
      <c r="R8" s="48">
        <f>8891.64*50%</f>
        <v>4445.82</v>
      </c>
      <c r="S8" s="48">
        <f>2351.62*50%</f>
        <v>1175.81</v>
      </c>
      <c r="T8" s="48">
        <f>23711.04*50%</f>
        <v>11855.52</v>
      </c>
      <c r="U8" s="48">
        <f t="shared" si="0"/>
        <v>2963.88</v>
      </c>
      <c r="V8" s="48">
        <f t="shared" si="1"/>
        <v>2963.88</v>
      </c>
      <c r="W8" s="48">
        <f>IF(G8=25%,T8-U8-V8,0)</f>
        <v>5927.7599999999993</v>
      </c>
      <c r="X8" s="49">
        <f>IF(G8=25%,0,(T8-U8-V8))</f>
        <v>0</v>
      </c>
      <c r="Y8" s="50">
        <f t="shared" si="2"/>
        <v>11855.52</v>
      </c>
      <c r="Z8" s="51">
        <f t="shared" si="3"/>
        <v>0</v>
      </c>
      <c r="AA8" s="51">
        <f t="shared" si="4"/>
        <v>5423.200527182863</v>
      </c>
    </row>
    <row r="9" spans="1:29" s="24" customFormat="1" ht="15">
      <c r="A9" s="45" t="s">
        <v>40</v>
      </c>
      <c r="B9" s="46" t="s">
        <v>66</v>
      </c>
      <c r="C9" s="47" t="s">
        <v>67</v>
      </c>
      <c r="D9" s="3" t="s">
        <v>68</v>
      </c>
      <c r="E9" s="3" t="s">
        <v>76</v>
      </c>
      <c r="F9" s="4" t="s">
        <v>76</v>
      </c>
      <c r="G9" s="5">
        <v>0.4</v>
      </c>
      <c r="H9" s="7">
        <v>12</v>
      </c>
      <c r="I9" s="7" t="s">
        <v>77</v>
      </c>
      <c r="J9" s="4" t="s">
        <v>71</v>
      </c>
      <c r="K9" s="4" t="s">
        <v>190</v>
      </c>
      <c r="L9" s="8" t="s">
        <v>190</v>
      </c>
      <c r="M9" s="8" t="s">
        <v>224</v>
      </c>
      <c r="N9" s="8" t="s">
        <v>246</v>
      </c>
      <c r="O9" s="4">
        <v>7819</v>
      </c>
      <c r="P9" s="86">
        <v>2.2400960384153681</v>
      </c>
      <c r="Q9" s="48">
        <v>6304.94</v>
      </c>
      <c r="R9" s="48">
        <v>3782.963999999999</v>
      </c>
      <c r="S9" s="48"/>
      <c r="T9" s="48">
        <v>10087.903999999999</v>
      </c>
      <c r="U9" s="48">
        <f t="shared" si="0"/>
        <v>4035.1615999999995</v>
      </c>
      <c r="V9" s="48">
        <f t="shared" si="1"/>
        <v>0</v>
      </c>
      <c r="W9" s="48">
        <f>IF(G9=25%,T9-U9-V9,0)+IF(G9=40%,T9-U9-V9,0)</f>
        <v>6052.7423999999992</v>
      </c>
      <c r="X9" s="49">
        <v>0</v>
      </c>
      <c r="Y9" s="50">
        <f t="shared" si="2"/>
        <v>10087.903999999999</v>
      </c>
      <c r="Z9" s="51">
        <f t="shared" si="3"/>
        <v>0</v>
      </c>
      <c r="AA9" s="51">
        <f t="shared" si="4"/>
        <v>4503.3354941050329</v>
      </c>
      <c r="AB9" s="34"/>
    </row>
    <row r="10" spans="1:29" s="24" customFormat="1" ht="15">
      <c r="A10" s="45" t="s">
        <v>40</v>
      </c>
      <c r="B10" s="46" t="s">
        <v>66</v>
      </c>
      <c r="C10" s="47" t="s">
        <v>67</v>
      </c>
      <c r="D10" s="3" t="s">
        <v>68</v>
      </c>
      <c r="E10" s="3" t="s">
        <v>69</v>
      </c>
      <c r="F10" s="4" t="s">
        <v>69</v>
      </c>
      <c r="G10" s="5">
        <v>0.4</v>
      </c>
      <c r="H10" s="7">
        <v>12</v>
      </c>
      <c r="I10" s="7" t="s">
        <v>77</v>
      </c>
      <c r="J10" s="4" t="s">
        <v>71</v>
      </c>
      <c r="K10" s="4" t="s">
        <v>190</v>
      </c>
      <c r="L10" s="8" t="s">
        <v>190</v>
      </c>
      <c r="M10" s="8" t="s">
        <v>224</v>
      </c>
      <c r="N10" s="8" t="s">
        <v>246</v>
      </c>
      <c r="O10" s="4">
        <v>7819</v>
      </c>
      <c r="P10" s="86">
        <v>0.73469387755102122</v>
      </c>
      <c r="Q10" s="48">
        <v>2095.08</v>
      </c>
      <c r="R10" s="48">
        <v>1257.048</v>
      </c>
      <c r="S10" s="48"/>
      <c r="T10" s="48">
        <v>3352.1280000000002</v>
      </c>
      <c r="U10" s="48">
        <f t="shared" si="0"/>
        <v>1340.8512000000001</v>
      </c>
      <c r="V10" s="48">
        <f t="shared" si="1"/>
        <v>0</v>
      </c>
      <c r="W10" s="48">
        <f>IF(G10=25%,T10-U10-V10,0)+IF(G10=40%,T10-U10-V10,0)</f>
        <v>2011.2768000000001</v>
      </c>
      <c r="X10" s="49">
        <f t="shared" ref="X10:X15" si="5">IF(G10=25%,0,(T10-U10-V10))</f>
        <v>2011.2768000000001</v>
      </c>
      <c r="Y10" s="50">
        <f t="shared" si="2"/>
        <v>5363.4048000000003</v>
      </c>
      <c r="Z10" s="51">
        <f t="shared" si="3"/>
        <v>2011.2768000000001</v>
      </c>
      <c r="AA10" s="51">
        <f t="shared" si="4"/>
        <v>4562.6186666666617</v>
      </c>
      <c r="AC10" s="34"/>
    </row>
    <row r="11" spans="1:29" s="24" customFormat="1" ht="15">
      <c r="A11" s="45" t="s">
        <v>40</v>
      </c>
      <c r="B11" s="46" t="s">
        <v>55</v>
      </c>
      <c r="C11" s="47" t="s">
        <v>42</v>
      </c>
      <c r="D11" s="3" t="s">
        <v>43</v>
      </c>
      <c r="E11" s="3" t="s">
        <v>278</v>
      </c>
      <c r="F11" s="4" t="s">
        <v>78</v>
      </c>
      <c r="G11" s="5">
        <v>0.25</v>
      </c>
      <c r="H11" s="7">
        <v>12</v>
      </c>
      <c r="I11" s="7" t="s">
        <v>77</v>
      </c>
      <c r="J11" s="4" t="s">
        <v>79</v>
      </c>
      <c r="K11" s="4" t="s">
        <v>189</v>
      </c>
      <c r="L11" s="4" t="s">
        <v>190</v>
      </c>
      <c r="M11" s="4" t="s">
        <v>191</v>
      </c>
      <c r="N11" s="4" t="s">
        <v>247</v>
      </c>
      <c r="O11" s="4">
        <v>7819</v>
      </c>
      <c r="P11" s="86">
        <v>2.1968787515006039</v>
      </c>
      <c r="Q11" s="48">
        <v>6396.7</v>
      </c>
      <c r="R11" s="48">
        <v>4050.9059999999995</v>
      </c>
      <c r="S11" s="48">
        <v>354.81</v>
      </c>
      <c r="T11" s="48">
        <v>10802.415999999997</v>
      </c>
      <c r="U11" s="48">
        <f t="shared" si="0"/>
        <v>2700.6039999999994</v>
      </c>
      <c r="V11" s="48">
        <f t="shared" si="1"/>
        <v>2700.6039999999994</v>
      </c>
      <c r="W11" s="48">
        <f>IF(G11=25%,T11-U11-V11,0)</f>
        <v>5401.2079999999987</v>
      </c>
      <c r="X11" s="49">
        <f t="shared" si="5"/>
        <v>0</v>
      </c>
      <c r="Y11" s="50">
        <f t="shared" si="2"/>
        <v>10802.415999999997</v>
      </c>
      <c r="Z11" s="51">
        <f t="shared" si="3"/>
        <v>0</v>
      </c>
      <c r="AA11" s="51">
        <f t="shared" si="4"/>
        <v>4917.1653158469853</v>
      </c>
    </row>
    <row r="12" spans="1:29" s="24" customFormat="1" ht="15.75" customHeight="1">
      <c r="A12" s="45" t="s">
        <v>46</v>
      </c>
      <c r="B12" s="46" t="s">
        <v>46</v>
      </c>
      <c r="C12" s="47" t="s">
        <v>42</v>
      </c>
      <c r="D12" s="3" t="s">
        <v>47</v>
      </c>
      <c r="E12" s="3" t="s">
        <v>80</v>
      </c>
      <c r="F12" s="4" t="s">
        <v>80</v>
      </c>
      <c r="G12" s="5">
        <v>0.25</v>
      </c>
      <c r="H12" s="7">
        <v>12</v>
      </c>
      <c r="I12" s="7" t="s">
        <v>77</v>
      </c>
      <c r="J12" s="4" t="s">
        <v>75</v>
      </c>
      <c r="K12" s="4" t="s">
        <v>162</v>
      </c>
      <c r="L12" s="4" t="s">
        <v>163</v>
      </c>
      <c r="M12" s="4" t="s">
        <v>164</v>
      </c>
      <c r="N12" s="4" t="s">
        <v>246</v>
      </c>
      <c r="O12" s="4">
        <v>7819</v>
      </c>
      <c r="P12" s="86">
        <v>8.3913565426170518</v>
      </c>
      <c r="Q12" s="48">
        <v>22715.699999999997</v>
      </c>
      <c r="R12" s="48">
        <v>16064.028</v>
      </c>
      <c r="S12" s="48">
        <v>4057.68</v>
      </c>
      <c r="T12" s="48">
        <v>42837.407999999996</v>
      </c>
      <c r="U12" s="48">
        <f t="shared" si="0"/>
        <v>10709.351999999999</v>
      </c>
      <c r="V12" s="48">
        <f t="shared" si="1"/>
        <v>10709.351999999999</v>
      </c>
      <c r="W12" s="48">
        <f>IF(G12=25%,T12-U12-V12,0)</f>
        <v>21418.703999999998</v>
      </c>
      <c r="X12" s="49">
        <f t="shared" si="5"/>
        <v>0</v>
      </c>
      <c r="Y12" s="50">
        <f t="shared" si="2"/>
        <v>42837.407999999996</v>
      </c>
      <c r="Z12" s="51">
        <f t="shared" si="3"/>
        <v>0</v>
      </c>
      <c r="AA12" s="51">
        <f t="shared" si="4"/>
        <v>5104.9443296137306</v>
      </c>
      <c r="AC12" s="34"/>
    </row>
    <row r="13" spans="1:29" s="24" customFormat="1" ht="15.75" customHeight="1">
      <c r="A13" s="45" t="s">
        <v>40</v>
      </c>
      <c r="B13" s="46" t="s">
        <v>66</v>
      </c>
      <c r="C13" s="47" t="s">
        <v>42</v>
      </c>
      <c r="D13" s="3" t="s">
        <v>62</v>
      </c>
      <c r="E13" s="3" t="s">
        <v>63</v>
      </c>
      <c r="F13" s="4" t="s">
        <v>63</v>
      </c>
      <c r="G13" s="5">
        <v>0.25</v>
      </c>
      <c r="H13" s="7">
        <v>12</v>
      </c>
      <c r="I13" s="7" t="s">
        <v>77</v>
      </c>
      <c r="J13" s="4" t="s">
        <v>243</v>
      </c>
      <c r="K13" s="4" t="s">
        <v>241</v>
      </c>
      <c r="L13" s="4" t="s">
        <v>241</v>
      </c>
      <c r="M13" s="8" t="s">
        <v>224</v>
      </c>
      <c r="N13" s="8" t="s">
        <v>246</v>
      </c>
      <c r="O13" s="4">
        <v>7819</v>
      </c>
      <c r="P13" s="86">
        <f>4.37214885954382*50%</f>
        <v>2.1860744297719101</v>
      </c>
      <c r="Q13" s="48">
        <f>12467.78*50%</f>
        <v>6233.89</v>
      </c>
      <c r="R13" s="48">
        <f>8891.64*50%</f>
        <v>4445.82</v>
      </c>
      <c r="S13" s="48">
        <f>2351.62*50%</f>
        <v>1175.81</v>
      </c>
      <c r="T13" s="48">
        <f>23711.04*50%</f>
        <v>11855.52</v>
      </c>
      <c r="U13" s="48">
        <f t="shared" si="0"/>
        <v>2963.88</v>
      </c>
      <c r="V13" s="48">
        <f t="shared" si="1"/>
        <v>2963.88</v>
      </c>
      <c r="W13" s="48">
        <f>IF(G13=25%,T13-U13-V13,0)</f>
        <v>5927.7599999999993</v>
      </c>
      <c r="X13" s="49">
        <f t="shared" si="5"/>
        <v>0</v>
      </c>
      <c r="Y13" s="50">
        <f t="shared" si="2"/>
        <v>11855.52</v>
      </c>
      <c r="Z13" s="51">
        <f t="shared" si="3"/>
        <v>0</v>
      </c>
      <c r="AA13" s="51">
        <f t="shared" si="4"/>
        <v>5423.200527182863</v>
      </c>
    </row>
    <row r="14" spans="1:29" s="24" customFormat="1" ht="15.75" customHeight="1">
      <c r="A14" s="45" t="s">
        <v>40</v>
      </c>
      <c r="B14" s="46" t="s">
        <v>61</v>
      </c>
      <c r="C14" s="47" t="s">
        <v>42</v>
      </c>
      <c r="D14" s="3" t="s">
        <v>62</v>
      </c>
      <c r="E14" s="3" t="s">
        <v>63</v>
      </c>
      <c r="F14" s="4" t="s">
        <v>63</v>
      </c>
      <c r="G14" s="5">
        <v>0.25</v>
      </c>
      <c r="H14" s="7">
        <v>14</v>
      </c>
      <c r="I14" s="7" t="s">
        <v>89</v>
      </c>
      <c r="J14" s="4" t="s">
        <v>91</v>
      </c>
      <c r="K14" s="4" t="s">
        <v>208</v>
      </c>
      <c r="L14" s="4" t="s">
        <v>208</v>
      </c>
      <c r="M14" s="4" t="s">
        <v>191</v>
      </c>
      <c r="N14" s="4" t="s">
        <v>247</v>
      </c>
      <c r="O14" s="4">
        <v>8640</v>
      </c>
      <c r="P14" s="86">
        <v>16.015284345047917</v>
      </c>
      <c r="Q14" s="48">
        <v>61242.16</v>
      </c>
      <c r="R14" s="48">
        <v>36745.296000000002</v>
      </c>
      <c r="S14" s="48"/>
      <c r="T14" s="48">
        <v>97987.456000000006</v>
      </c>
      <c r="U14" s="48">
        <f t="shared" si="0"/>
        <v>24496.864000000001</v>
      </c>
      <c r="V14" s="48">
        <f t="shared" si="1"/>
        <v>24496.864000000001</v>
      </c>
      <c r="W14" s="48">
        <f>IF(G14=25%,T14-U14-V14,0)</f>
        <v>48993.728000000003</v>
      </c>
      <c r="X14" s="49">
        <f t="shared" si="5"/>
        <v>0</v>
      </c>
      <c r="Y14" s="50">
        <f t="shared" si="2"/>
        <v>97987.456000000006</v>
      </c>
      <c r="Z14" s="51">
        <f t="shared" si="3"/>
        <v>0</v>
      </c>
      <c r="AA14" s="51">
        <f t="shared" si="4"/>
        <v>6118.3712938758208</v>
      </c>
      <c r="AB14" s="34"/>
    </row>
    <row r="15" spans="1:29" s="24" customFormat="1" ht="15.75" customHeight="1">
      <c r="A15" s="45" t="s">
        <v>40</v>
      </c>
      <c r="B15" s="46" t="s">
        <v>55</v>
      </c>
      <c r="C15" s="47" t="s">
        <v>42</v>
      </c>
      <c r="D15" s="3" t="s">
        <v>43</v>
      </c>
      <c r="E15" s="3" t="s">
        <v>277</v>
      </c>
      <c r="F15" s="4" t="s">
        <v>85</v>
      </c>
      <c r="G15" s="5">
        <v>0.25</v>
      </c>
      <c r="H15" s="7">
        <v>14</v>
      </c>
      <c r="I15" s="7" t="s">
        <v>89</v>
      </c>
      <c r="J15" s="4" t="s">
        <v>90</v>
      </c>
      <c r="K15" s="4" t="s">
        <v>207</v>
      </c>
      <c r="L15" s="4" t="s">
        <v>208</v>
      </c>
      <c r="M15" s="4" t="s">
        <v>191</v>
      </c>
      <c r="N15" s="4" t="s">
        <v>247</v>
      </c>
      <c r="O15" s="4">
        <v>8640</v>
      </c>
      <c r="P15" s="86">
        <v>3.361927262494</v>
      </c>
      <c r="Q15" s="48">
        <v>12956.147591405699</v>
      </c>
      <c r="R15" s="48">
        <v>7773.6885548434302</v>
      </c>
      <c r="S15" s="48"/>
      <c r="T15" s="48">
        <v>20729.836146249101</v>
      </c>
      <c r="U15" s="48">
        <f t="shared" si="0"/>
        <v>5182.4590365622753</v>
      </c>
      <c r="V15" s="48">
        <f t="shared" si="1"/>
        <v>5182.4590365622753</v>
      </c>
      <c r="W15" s="48">
        <f>IF(G15=25%,T15-U15-V15,0)</f>
        <v>10364.918073124551</v>
      </c>
      <c r="X15" s="49">
        <f t="shared" si="5"/>
        <v>0</v>
      </c>
      <c r="Y15" s="50">
        <f t="shared" si="2"/>
        <v>20729.836146249101</v>
      </c>
      <c r="Z15" s="51">
        <f t="shared" si="3"/>
        <v>0</v>
      </c>
      <c r="AA15" s="51">
        <f t="shared" si="4"/>
        <v>6166.0573021651144</v>
      </c>
    </row>
    <row r="16" spans="1:29" s="24" customFormat="1" ht="15.75" customHeight="1">
      <c r="A16" s="45" t="s">
        <v>40</v>
      </c>
      <c r="B16" s="46" t="s">
        <v>66</v>
      </c>
      <c r="C16" s="47" t="s">
        <v>67</v>
      </c>
      <c r="D16" s="3" t="s">
        <v>68</v>
      </c>
      <c r="E16" s="3" t="s">
        <v>76</v>
      </c>
      <c r="F16" s="4" t="s">
        <v>76</v>
      </c>
      <c r="G16" s="5">
        <v>0.4</v>
      </c>
      <c r="H16" s="7">
        <v>14</v>
      </c>
      <c r="I16" s="7" t="s">
        <v>93</v>
      </c>
      <c r="J16" s="8" t="s">
        <v>95</v>
      </c>
      <c r="K16" s="8" t="s">
        <v>208</v>
      </c>
      <c r="L16" s="4" t="s">
        <v>208</v>
      </c>
      <c r="M16" s="8" t="s">
        <v>224</v>
      </c>
      <c r="N16" s="8" t="s">
        <v>246</v>
      </c>
      <c r="O16" s="4">
        <v>8640</v>
      </c>
      <c r="P16" s="86">
        <v>2.2619041533546298</v>
      </c>
      <c r="Q16" s="48">
        <v>8826.3346138617399</v>
      </c>
      <c r="R16" s="48">
        <v>5295.8007683170499</v>
      </c>
      <c r="S16" s="48"/>
      <c r="T16" s="48">
        <v>14122.1353821788</v>
      </c>
      <c r="U16" s="48">
        <f t="shared" si="0"/>
        <v>5648.8541528715205</v>
      </c>
      <c r="V16" s="48">
        <f t="shared" si="1"/>
        <v>0</v>
      </c>
      <c r="W16" s="48">
        <f>IF(G16=25%,T16-U16-V16,0)+IF(G16=40%,T16-U16-V16,0)</f>
        <v>8473.2812293072784</v>
      </c>
      <c r="X16" s="49">
        <v>0</v>
      </c>
      <c r="Y16" s="50">
        <f t="shared" si="2"/>
        <v>14122.1353821788</v>
      </c>
      <c r="Z16" s="51">
        <f t="shared" si="3"/>
        <v>0</v>
      </c>
      <c r="AA16" s="51">
        <f t="shared" si="4"/>
        <v>6243.4720592533786</v>
      </c>
    </row>
    <row r="17" spans="1:29" s="24" customFormat="1" ht="15">
      <c r="A17" s="45" t="s">
        <v>40</v>
      </c>
      <c r="B17" s="46" t="s">
        <v>66</v>
      </c>
      <c r="C17" s="47" t="s">
        <v>67</v>
      </c>
      <c r="D17" s="3" t="s">
        <v>68</v>
      </c>
      <c r="E17" s="3" t="s">
        <v>92</v>
      </c>
      <c r="F17" s="4" t="s">
        <v>92</v>
      </c>
      <c r="G17" s="5">
        <v>0.4</v>
      </c>
      <c r="H17" s="7">
        <v>14</v>
      </c>
      <c r="I17" s="7" t="s">
        <v>93</v>
      </c>
      <c r="J17" s="4" t="s">
        <v>94</v>
      </c>
      <c r="K17" s="4" t="s">
        <v>208</v>
      </c>
      <c r="L17" s="4" t="s">
        <v>208</v>
      </c>
      <c r="M17" s="8" t="s">
        <v>224</v>
      </c>
      <c r="N17" s="8" t="s">
        <v>246</v>
      </c>
      <c r="O17" s="4">
        <v>8640</v>
      </c>
      <c r="P17" s="86">
        <v>7.0809968051118188</v>
      </c>
      <c r="Q17" s="48">
        <v>37826.519999999997</v>
      </c>
      <c r="R17" s="48">
        <v>22695.911999999997</v>
      </c>
      <c r="S17" s="48"/>
      <c r="T17" s="48">
        <v>60522.431999999993</v>
      </c>
      <c r="U17" s="48">
        <f t="shared" si="0"/>
        <v>24208.9728</v>
      </c>
      <c r="V17" s="48">
        <f t="shared" si="1"/>
        <v>0</v>
      </c>
      <c r="W17" s="48">
        <f>IF(G17=25%,T17-U17-V17,0)+IF(G17=40%,T17-U17-V17,0)</f>
        <v>36313.459199999998</v>
      </c>
      <c r="X17" s="49">
        <v>0</v>
      </c>
      <c r="Y17" s="50">
        <f t="shared" si="2"/>
        <v>60522.432000000001</v>
      </c>
      <c r="Z17" s="51">
        <f t="shared" si="3"/>
        <v>0</v>
      </c>
      <c r="AA17" s="51">
        <f t="shared" si="4"/>
        <v>8547.1627322735749</v>
      </c>
    </row>
    <row r="18" spans="1:29" s="24" customFormat="1" ht="15">
      <c r="A18" s="45" t="s">
        <v>40</v>
      </c>
      <c r="B18" s="46" t="s">
        <v>41</v>
      </c>
      <c r="C18" s="47" t="s">
        <v>42</v>
      </c>
      <c r="D18" s="3" t="s">
        <v>43</v>
      </c>
      <c r="E18" s="3" t="s">
        <v>276</v>
      </c>
      <c r="F18" s="4" t="s">
        <v>86</v>
      </c>
      <c r="G18" s="5">
        <v>0.25</v>
      </c>
      <c r="H18" s="7">
        <v>13</v>
      </c>
      <c r="I18" s="7" t="s">
        <v>87</v>
      </c>
      <c r="J18" s="4" t="s">
        <v>88</v>
      </c>
      <c r="K18" s="4" t="s">
        <v>180</v>
      </c>
      <c r="L18" s="4" t="s">
        <v>181</v>
      </c>
      <c r="M18" s="4" t="s">
        <v>173</v>
      </c>
      <c r="N18" s="4" t="s">
        <v>247</v>
      </c>
      <c r="O18" s="4">
        <v>10317</v>
      </c>
      <c r="P18" s="86">
        <v>1.4957714285714279</v>
      </c>
      <c r="Q18" s="48">
        <v>6969.7999999999993</v>
      </c>
      <c r="R18" s="48">
        <v>5481.59</v>
      </c>
      <c r="S18" s="48">
        <v>2361.31</v>
      </c>
      <c r="T18" s="48">
        <v>14812.7</v>
      </c>
      <c r="U18" s="48">
        <f t="shared" si="0"/>
        <v>3703.1750000000002</v>
      </c>
      <c r="V18" s="48">
        <f t="shared" si="1"/>
        <v>3703.1750000000002</v>
      </c>
      <c r="W18" s="48">
        <f t="shared" ref="W18:W59" si="6">IF(G18=25%,T18-U18-V18,0)</f>
        <v>7406.3500000000013</v>
      </c>
      <c r="X18" s="49">
        <f t="shared" ref="X18:X59" si="7">IF(G18=25%,0,(T18-U18-V18))</f>
        <v>0</v>
      </c>
      <c r="Y18" s="50">
        <f t="shared" si="2"/>
        <v>14812.7</v>
      </c>
      <c r="Z18" s="51">
        <f t="shared" si="3"/>
        <v>0</v>
      </c>
      <c r="AA18" s="51">
        <f t="shared" si="4"/>
        <v>9903.0505042787336</v>
      </c>
    </row>
    <row r="19" spans="1:29" s="24" customFormat="1" ht="15" customHeight="1">
      <c r="A19" s="45" t="s">
        <v>40</v>
      </c>
      <c r="B19" s="46" t="s">
        <v>41</v>
      </c>
      <c r="C19" s="47" t="s">
        <v>42</v>
      </c>
      <c r="D19" s="3" t="s">
        <v>43</v>
      </c>
      <c r="E19" s="3" t="s">
        <v>274</v>
      </c>
      <c r="F19" s="4" t="s">
        <v>82</v>
      </c>
      <c r="G19" s="5">
        <v>0.25</v>
      </c>
      <c r="H19" s="7">
        <v>12</v>
      </c>
      <c r="I19" s="7" t="s">
        <v>83</v>
      </c>
      <c r="J19" s="4" t="s">
        <v>84</v>
      </c>
      <c r="K19" s="4" t="s">
        <v>198</v>
      </c>
      <c r="L19" s="4" t="s">
        <v>199</v>
      </c>
      <c r="M19" s="4" t="s">
        <v>173</v>
      </c>
      <c r="N19" s="4" t="s">
        <v>247</v>
      </c>
      <c r="O19" s="4">
        <v>7819</v>
      </c>
      <c r="P19" s="86">
        <v>4.0080000000000009</v>
      </c>
      <c r="Q19" s="48">
        <v>10020</v>
      </c>
      <c r="R19" s="48">
        <v>7314.5999999999995</v>
      </c>
      <c r="S19" s="48">
        <v>833.5</v>
      </c>
      <c r="T19" s="48">
        <v>18168.099999999999</v>
      </c>
      <c r="U19" s="48">
        <f t="shared" si="0"/>
        <v>4542.0249999999996</v>
      </c>
      <c r="V19" s="48">
        <f t="shared" si="1"/>
        <v>4542.0249999999996</v>
      </c>
      <c r="W19" s="48">
        <f t="shared" si="6"/>
        <v>9084.0499999999993</v>
      </c>
      <c r="X19" s="49">
        <f t="shared" si="7"/>
        <v>0</v>
      </c>
      <c r="Y19" s="50">
        <f t="shared" si="2"/>
        <v>18168.099999999999</v>
      </c>
      <c r="Z19" s="51">
        <f t="shared" si="3"/>
        <v>0</v>
      </c>
      <c r="AA19" s="51">
        <f t="shared" si="4"/>
        <v>4532.9590818363258</v>
      </c>
    </row>
    <row r="20" spans="1:29" s="24" customFormat="1" ht="15">
      <c r="A20" s="45" t="s">
        <v>28</v>
      </c>
      <c r="B20" s="46" t="s">
        <v>28</v>
      </c>
      <c r="C20" s="47" t="s">
        <v>29</v>
      </c>
      <c r="D20" s="3" t="s">
        <v>30</v>
      </c>
      <c r="E20" s="3" t="s">
        <v>269</v>
      </c>
      <c r="F20" s="4" t="s">
        <v>72</v>
      </c>
      <c r="G20" s="5">
        <v>0.25</v>
      </c>
      <c r="H20" s="7">
        <v>12</v>
      </c>
      <c r="I20" s="7" t="s">
        <v>83</v>
      </c>
      <c r="J20" s="4" t="s">
        <v>145</v>
      </c>
      <c r="K20" s="4" t="s">
        <v>170</v>
      </c>
      <c r="L20" s="4" t="s">
        <v>170</v>
      </c>
      <c r="M20" s="4" t="s">
        <v>248</v>
      </c>
      <c r="N20" s="4" t="s">
        <v>246</v>
      </c>
      <c r="O20" s="4">
        <v>7819</v>
      </c>
      <c r="P20" s="86">
        <v>1.3760000000000001</v>
      </c>
      <c r="Q20" s="48">
        <v>6132</v>
      </c>
      <c r="R20" s="48">
        <v>4353.72</v>
      </c>
      <c r="S20" s="48"/>
      <c r="T20" s="48">
        <v>10485.720000000001</v>
      </c>
      <c r="U20" s="48">
        <f t="shared" si="0"/>
        <v>2621.4300000000003</v>
      </c>
      <c r="V20" s="48">
        <f t="shared" si="1"/>
        <v>2621.4300000000003</v>
      </c>
      <c r="W20" s="48">
        <f t="shared" si="6"/>
        <v>5242.8600000000006</v>
      </c>
      <c r="X20" s="49">
        <f t="shared" si="7"/>
        <v>0</v>
      </c>
      <c r="Y20" s="50">
        <f t="shared" si="2"/>
        <v>10485.720000000001</v>
      </c>
      <c r="Z20" s="51">
        <f t="shared" si="3"/>
        <v>0</v>
      </c>
      <c r="AA20" s="51">
        <f t="shared" si="4"/>
        <v>7620.4360465116279</v>
      </c>
    </row>
    <row r="21" spans="1:29" s="24" customFormat="1" ht="15">
      <c r="A21" s="45" t="s">
        <v>40</v>
      </c>
      <c r="B21" s="46" t="s">
        <v>41</v>
      </c>
      <c r="C21" s="47" t="s">
        <v>42</v>
      </c>
      <c r="D21" s="3" t="s">
        <v>43</v>
      </c>
      <c r="E21" s="3" t="s">
        <v>276</v>
      </c>
      <c r="F21" s="4" t="s">
        <v>59</v>
      </c>
      <c r="G21" s="5">
        <v>0.25</v>
      </c>
      <c r="H21" s="7">
        <v>28</v>
      </c>
      <c r="I21" s="7" t="s">
        <v>118</v>
      </c>
      <c r="J21" s="4" t="s">
        <v>117</v>
      </c>
      <c r="K21" s="4" t="s">
        <v>171</v>
      </c>
      <c r="L21" s="4" t="s">
        <v>172</v>
      </c>
      <c r="M21" s="4" t="s">
        <v>173</v>
      </c>
      <c r="N21" s="4" t="s">
        <v>247</v>
      </c>
      <c r="O21" s="4">
        <v>8560</v>
      </c>
      <c r="P21" s="86">
        <v>5.5699052132701441</v>
      </c>
      <c r="Q21" s="48">
        <v>16616.420022545753</v>
      </c>
      <c r="R21" s="48">
        <v>13826.434653299115</v>
      </c>
      <c r="S21" s="48">
        <v>6427.6377329527741</v>
      </c>
      <c r="T21" s="48">
        <v>36870.49240879764</v>
      </c>
      <c r="U21" s="48">
        <f t="shared" si="0"/>
        <v>9217.6231021994099</v>
      </c>
      <c r="V21" s="48">
        <f t="shared" si="1"/>
        <v>9217.6231021994099</v>
      </c>
      <c r="W21" s="48">
        <f t="shared" si="6"/>
        <v>18435.24620439882</v>
      </c>
      <c r="X21" s="49">
        <f t="shared" si="7"/>
        <v>0</v>
      </c>
      <c r="Y21" s="50">
        <f t="shared" si="2"/>
        <v>36870.49240879764</v>
      </c>
      <c r="Z21" s="51">
        <f t="shared" si="3"/>
        <v>0</v>
      </c>
      <c r="AA21" s="51">
        <f t="shared" si="4"/>
        <v>6619.5906388056155</v>
      </c>
      <c r="AC21" s="34"/>
    </row>
    <row r="22" spans="1:29" s="24" customFormat="1" ht="15">
      <c r="A22" s="72" t="s">
        <v>15</v>
      </c>
      <c r="B22" s="73" t="s">
        <v>26</v>
      </c>
      <c r="C22" s="74" t="s">
        <v>17</v>
      </c>
      <c r="D22" s="75" t="s">
        <v>23</v>
      </c>
      <c r="E22" s="75" t="s">
        <v>260</v>
      </c>
      <c r="F22" s="76" t="s">
        <v>27</v>
      </c>
      <c r="G22" s="77">
        <v>1</v>
      </c>
      <c r="H22" s="78">
        <v>1</v>
      </c>
      <c r="I22" s="78" t="s">
        <v>20</v>
      </c>
      <c r="J22" s="76" t="s">
        <v>26</v>
      </c>
      <c r="K22" s="76" t="s">
        <v>196</v>
      </c>
      <c r="L22" s="76" t="s">
        <v>197</v>
      </c>
      <c r="M22" s="76" t="s">
        <v>176</v>
      </c>
      <c r="N22" s="76" t="s">
        <v>247</v>
      </c>
      <c r="O22" s="76">
        <v>8880</v>
      </c>
      <c r="P22" s="90">
        <v>5.1899999999999995</v>
      </c>
      <c r="Q22" s="79">
        <v>47870.55</v>
      </c>
      <c r="R22" s="79">
        <v>9574.11</v>
      </c>
      <c r="S22" s="79">
        <v>7638.1917481343289</v>
      </c>
      <c r="T22" s="79">
        <v>65082.85174813433</v>
      </c>
      <c r="U22" s="79">
        <f t="shared" si="0"/>
        <v>65082.85174813433</v>
      </c>
      <c r="V22" s="79">
        <f t="shared" si="1"/>
        <v>0</v>
      </c>
      <c r="W22" s="79">
        <f t="shared" si="6"/>
        <v>0</v>
      </c>
      <c r="X22" s="80">
        <f t="shared" si="7"/>
        <v>0</v>
      </c>
      <c r="Y22" s="81">
        <f t="shared" si="2"/>
        <v>65082.85174813433</v>
      </c>
      <c r="Z22" s="82">
        <f t="shared" si="3"/>
        <v>0</v>
      </c>
      <c r="AA22" s="82">
        <f t="shared" si="4"/>
        <v>12540.048506384264</v>
      </c>
    </row>
    <row r="23" spans="1:29" s="24" customFormat="1" ht="15">
      <c r="A23" s="45" t="s">
        <v>28</v>
      </c>
      <c r="B23" s="46" t="s">
        <v>28</v>
      </c>
      <c r="C23" s="47" t="s">
        <v>29</v>
      </c>
      <c r="D23" s="3" t="s">
        <v>30</v>
      </c>
      <c r="E23" s="3" t="s">
        <v>287</v>
      </c>
      <c r="F23" s="4" t="s">
        <v>288</v>
      </c>
      <c r="G23" s="5">
        <v>0.75</v>
      </c>
      <c r="H23" s="7">
        <v>1</v>
      </c>
      <c r="I23" s="7" t="s">
        <v>20</v>
      </c>
      <c r="J23" s="4" t="s">
        <v>37</v>
      </c>
      <c r="K23" s="4" t="s">
        <v>177</v>
      </c>
      <c r="L23" s="4" t="s">
        <v>178</v>
      </c>
      <c r="M23" s="4" t="s">
        <v>179</v>
      </c>
      <c r="N23" s="4" t="s">
        <v>246</v>
      </c>
      <c r="O23" s="4">
        <v>8880</v>
      </c>
      <c r="P23" s="86">
        <v>18.829999999999998</v>
      </c>
      <c r="Q23" s="48">
        <v>130610.97000000002</v>
      </c>
      <c r="R23" s="48">
        <v>26122.194000000007</v>
      </c>
      <c r="S23" s="48">
        <v>6086.9927963169976</v>
      </c>
      <c r="T23" s="48">
        <v>162820.15679631702</v>
      </c>
      <c r="U23" s="48">
        <f t="shared" si="0"/>
        <v>122115.11759723777</v>
      </c>
      <c r="V23" s="48">
        <f t="shared" si="1"/>
        <v>0</v>
      </c>
      <c r="W23" s="48">
        <f t="shared" si="6"/>
        <v>0</v>
      </c>
      <c r="X23" s="49">
        <f t="shared" si="7"/>
        <v>40705.039199079256</v>
      </c>
      <c r="Y23" s="50">
        <f t="shared" si="2"/>
        <v>162820.15679631702</v>
      </c>
      <c r="Z23" s="51">
        <f t="shared" si="3"/>
        <v>0</v>
      </c>
      <c r="AA23" s="51">
        <f t="shared" si="4"/>
        <v>8646.8484756408416</v>
      </c>
    </row>
    <row r="24" spans="1:29" s="24" customFormat="1" ht="15">
      <c r="A24" s="45" t="s">
        <v>28</v>
      </c>
      <c r="B24" s="46" t="s">
        <v>28</v>
      </c>
      <c r="C24" s="47" t="s">
        <v>29</v>
      </c>
      <c r="D24" s="3" t="s">
        <v>30</v>
      </c>
      <c r="E24" s="3" t="s">
        <v>266</v>
      </c>
      <c r="F24" s="4" t="s">
        <v>33</v>
      </c>
      <c r="G24" s="5">
        <v>0.75</v>
      </c>
      <c r="H24" s="7">
        <v>1</v>
      </c>
      <c r="I24" s="7" t="s">
        <v>20</v>
      </c>
      <c r="J24" s="4" t="s">
        <v>34</v>
      </c>
      <c r="K24" s="4" t="s">
        <v>194</v>
      </c>
      <c r="L24" s="4" t="s">
        <v>195</v>
      </c>
      <c r="M24" s="4" t="s">
        <v>179</v>
      </c>
      <c r="N24" s="4" t="s">
        <v>246</v>
      </c>
      <c r="O24" s="4">
        <v>8880</v>
      </c>
      <c r="P24" s="86">
        <v>31.349999999999994</v>
      </c>
      <c r="Q24" s="48">
        <v>156160.76999999999</v>
      </c>
      <c r="R24" s="48">
        <v>31232.153999999999</v>
      </c>
      <c r="S24" s="48">
        <v>5704.2249745083745</v>
      </c>
      <c r="T24" s="48">
        <v>193097.14897450799</v>
      </c>
      <c r="U24" s="48">
        <f t="shared" si="0"/>
        <v>144822.86173088098</v>
      </c>
      <c r="V24" s="48">
        <f t="shared" si="1"/>
        <v>0</v>
      </c>
      <c r="W24" s="48">
        <f t="shared" si="6"/>
        <v>0</v>
      </c>
      <c r="X24" s="49">
        <f t="shared" si="7"/>
        <v>48274.287243627012</v>
      </c>
      <c r="Y24" s="50">
        <f t="shared" si="2"/>
        <v>193097.14897450799</v>
      </c>
      <c r="Z24" s="51">
        <f t="shared" si="3"/>
        <v>0</v>
      </c>
      <c r="AA24" s="51">
        <f t="shared" si="4"/>
        <v>6159.3986913718672</v>
      </c>
      <c r="AC24" s="34"/>
    </row>
    <row r="25" spans="1:29" s="24" customFormat="1" ht="15">
      <c r="A25" s="72" t="s">
        <v>15</v>
      </c>
      <c r="B25" s="73" t="s">
        <v>22</v>
      </c>
      <c r="C25" s="74" t="s">
        <v>17</v>
      </c>
      <c r="D25" s="75" t="s">
        <v>23</v>
      </c>
      <c r="E25" s="87" t="s">
        <v>262</v>
      </c>
      <c r="F25" s="76" t="s">
        <v>24</v>
      </c>
      <c r="G25" s="77">
        <v>1</v>
      </c>
      <c r="H25" s="78">
        <v>1</v>
      </c>
      <c r="I25" s="78" t="s">
        <v>20</v>
      </c>
      <c r="J25" s="76" t="s">
        <v>25</v>
      </c>
      <c r="K25" s="76" t="s">
        <v>186</v>
      </c>
      <c r="L25" s="76" t="s">
        <v>187</v>
      </c>
      <c r="M25" s="76" t="s">
        <v>176</v>
      </c>
      <c r="N25" s="88" t="s">
        <v>246</v>
      </c>
      <c r="O25" s="76">
        <v>8880</v>
      </c>
      <c r="P25" s="90">
        <v>7.7799999999999985</v>
      </c>
      <c r="Q25" s="79">
        <v>62625.660000000011</v>
      </c>
      <c r="R25" s="79">
        <v>12525.132000000003</v>
      </c>
      <c r="S25" s="79">
        <v>11449.929055970149</v>
      </c>
      <c r="T25" s="79">
        <v>86600.721055970163</v>
      </c>
      <c r="U25" s="79">
        <f t="shared" si="0"/>
        <v>86600.721055970163</v>
      </c>
      <c r="V25" s="79">
        <f t="shared" si="1"/>
        <v>0</v>
      </c>
      <c r="W25" s="79">
        <f t="shared" si="6"/>
        <v>0</v>
      </c>
      <c r="X25" s="80">
        <f t="shared" si="7"/>
        <v>0</v>
      </c>
      <c r="Y25" s="81">
        <f t="shared" si="2"/>
        <v>86600.721055970163</v>
      </c>
      <c r="Z25" s="82">
        <f t="shared" si="3"/>
        <v>0</v>
      </c>
      <c r="AA25" s="82">
        <f t="shared" si="4"/>
        <v>11131.198079173546</v>
      </c>
      <c r="AC25" s="34"/>
    </row>
    <row r="26" spans="1:29" s="24" customFormat="1" ht="15">
      <c r="A26" s="72" t="s">
        <v>15</v>
      </c>
      <c r="B26" s="73" t="s">
        <v>22</v>
      </c>
      <c r="C26" s="74" t="s">
        <v>17</v>
      </c>
      <c r="D26" s="75" t="s">
        <v>23</v>
      </c>
      <c r="E26" s="87" t="s">
        <v>263</v>
      </c>
      <c r="F26" s="76" t="s">
        <v>259</v>
      </c>
      <c r="G26" s="77">
        <v>1</v>
      </c>
      <c r="H26" s="78">
        <v>1</v>
      </c>
      <c r="I26" s="78" t="s">
        <v>20</v>
      </c>
      <c r="J26" s="76" t="s">
        <v>25</v>
      </c>
      <c r="K26" s="76" t="s">
        <v>186</v>
      </c>
      <c r="L26" s="76" t="s">
        <v>187</v>
      </c>
      <c r="M26" s="76" t="s">
        <v>176</v>
      </c>
      <c r="N26" s="88" t="s">
        <v>246</v>
      </c>
      <c r="O26" s="76">
        <v>8880</v>
      </c>
      <c r="P26" s="90">
        <v>5.04</v>
      </c>
      <c r="Q26" s="79">
        <v>23549.27</v>
      </c>
      <c r="R26" s="79">
        <v>4709.8540000000003</v>
      </c>
      <c r="S26" s="79">
        <v>7417.4347611940311</v>
      </c>
      <c r="T26" s="79">
        <v>35676.558761194035</v>
      </c>
      <c r="U26" s="79">
        <f t="shared" si="0"/>
        <v>35676.558761194035</v>
      </c>
      <c r="V26" s="79">
        <f t="shared" si="1"/>
        <v>0</v>
      </c>
      <c r="W26" s="79">
        <f t="shared" si="6"/>
        <v>0</v>
      </c>
      <c r="X26" s="80">
        <f t="shared" si="7"/>
        <v>0</v>
      </c>
      <c r="Y26" s="81">
        <f t="shared" si="2"/>
        <v>35676.558761194035</v>
      </c>
      <c r="Z26" s="82">
        <f t="shared" si="3"/>
        <v>0</v>
      </c>
      <c r="AA26" s="82">
        <f t="shared" si="4"/>
        <v>7078.6822938877058</v>
      </c>
      <c r="AC26" s="34"/>
    </row>
    <row r="27" spans="1:29" s="24" customFormat="1" ht="15">
      <c r="A27" s="45" t="s">
        <v>28</v>
      </c>
      <c r="B27" s="46" t="s">
        <v>28</v>
      </c>
      <c r="C27" s="47" t="s">
        <v>29</v>
      </c>
      <c r="D27" s="3" t="s">
        <v>30</v>
      </c>
      <c r="E27" s="3" t="s">
        <v>285</v>
      </c>
      <c r="F27" s="4" t="s">
        <v>35</v>
      </c>
      <c r="G27" s="5">
        <v>0.75</v>
      </c>
      <c r="H27" s="7">
        <v>1</v>
      </c>
      <c r="I27" s="7" t="s">
        <v>20</v>
      </c>
      <c r="J27" s="4" t="s">
        <v>36</v>
      </c>
      <c r="K27" s="4" t="s">
        <v>174</v>
      </c>
      <c r="L27" s="4" t="s">
        <v>175</v>
      </c>
      <c r="M27" s="4" t="s">
        <v>176</v>
      </c>
      <c r="N27" s="4" t="s">
        <v>246</v>
      </c>
      <c r="O27" s="4">
        <v>8880</v>
      </c>
      <c r="P27" s="86">
        <v>43.56</v>
      </c>
      <c r="Q27" s="48">
        <v>246415.90000000002</v>
      </c>
      <c r="R27" s="48">
        <v>49283.180000000008</v>
      </c>
      <c r="S27" s="48">
        <v>7925.870490895848</v>
      </c>
      <c r="T27" s="48">
        <v>303624.95049089589</v>
      </c>
      <c r="U27" s="48">
        <f t="shared" si="0"/>
        <v>227718.71286817192</v>
      </c>
      <c r="V27" s="48">
        <f t="shared" si="1"/>
        <v>0</v>
      </c>
      <c r="W27" s="48">
        <f t="shared" si="6"/>
        <v>0</v>
      </c>
      <c r="X27" s="49">
        <f t="shared" si="7"/>
        <v>75906.237622723973</v>
      </c>
      <c r="Y27" s="50">
        <f t="shared" si="2"/>
        <v>303624.95049089589</v>
      </c>
      <c r="Z27" s="51">
        <f t="shared" si="3"/>
        <v>0</v>
      </c>
      <c r="AA27" s="51">
        <f t="shared" si="4"/>
        <v>6970.2697541527978</v>
      </c>
      <c r="AC27" s="34"/>
    </row>
    <row r="28" spans="1:29" s="24" customFormat="1" ht="15">
      <c r="A28" s="72" t="s">
        <v>15</v>
      </c>
      <c r="B28" s="73" t="s">
        <v>16</v>
      </c>
      <c r="C28" s="74" t="s">
        <v>17</v>
      </c>
      <c r="D28" s="75" t="s">
        <v>18</v>
      </c>
      <c r="E28" s="75" t="s">
        <v>261</v>
      </c>
      <c r="F28" s="76" t="s">
        <v>19</v>
      </c>
      <c r="G28" s="77">
        <v>0.75</v>
      </c>
      <c r="H28" s="78">
        <v>1</v>
      </c>
      <c r="I28" s="78" t="s">
        <v>20</v>
      </c>
      <c r="J28" s="76" t="s">
        <v>21</v>
      </c>
      <c r="K28" s="76" t="s">
        <v>168</v>
      </c>
      <c r="L28" s="76" t="s">
        <v>169</v>
      </c>
      <c r="M28" s="76" t="s">
        <v>169</v>
      </c>
      <c r="N28" s="76" t="s">
        <v>246</v>
      </c>
      <c r="O28" s="76">
        <v>8880</v>
      </c>
      <c r="P28" s="90">
        <v>38.090000000000003</v>
      </c>
      <c r="Q28" s="79">
        <v>209830.19999999998</v>
      </c>
      <c r="R28" s="79">
        <v>41966.04</v>
      </c>
      <c r="S28" s="79">
        <v>4907.3760000000002</v>
      </c>
      <c r="T28" s="79">
        <v>256703.61599999998</v>
      </c>
      <c r="U28" s="79">
        <f t="shared" si="0"/>
        <v>192527.712</v>
      </c>
      <c r="V28" s="79">
        <f t="shared" si="1"/>
        <v>0</v>
      </c>
      <c r="W28" s="79">
        <f t="shared" si="6"/>
        <v>0</v>
      </c>
      <c r="X28" s="80">
        <f t="shared" si="7"/>
        <v>64175.90399999998</v>
      </c>
      <c r="Y28" s="81">
        <f t="shared" si="2"/>
        <v>256703.61599999998</v>
      </c>
      <c r="Z28" s="82">
        <f t="shared" si="3"/>
        <v>0</v>
      </c>
      <c r="AA28" s="82">
        <f t="shared" si="4"/>
        <v>6739.3965870307156</v>
      </c>
    </row>
    <row r="29" spans="1:29" s="24" customFormat="1" ht="15">
      <c r="A29" s="72" t="s">
        <v>15</v>
      </c>
      <c r="B29" s="73" t="s">
        <v>16</v>
      </c>
      <c r="C29" s="74" t="s">
        <v>17</v>
      </c>
      <c r="D29" s="75" t="s">
        <v>18</v>
      </c>
      <c r="E29" s="75" t="s">
        <v>264</v>
      </c>
      <c r="F29" s="76" t="s">
        <v>19</v>
      </c>
      <c r="G29" s="77">
        <v>0.75</v>
      </c>
      <c r="H29" s="78">
        <v>1</v>
      </c>
      <c r="I29" s="78" t="s">
        <v>20</v>
      </c>
      <c r="J29" s="76" t="s">
        <v>21</v>
      </c>
      <c r="K29" s="76" t="s">
        <v>168</v>
      </c>
      <c r="L29" s="76" t="s">
        <v>169</v>
      </c>
      <c r="M29" s="76" t="s">
        <v>169</v>
      </c>
      <c r="N29" s="76" t="s">
        <v>246</v>
      </c>
      <c r="O29" s="76">
        <v>8880</v>
      </c>
      <c r="P29" s="90">
        <v>24.87</v>
      </c>
      <c r="Q29" s="79">
        <v>156904.09</v>
      </c>
      <c r="R29" s="79">
        <v>31380.817999999999</v>
      </c>
      <c r="S29" s="79">
        <v>36601.5084347015</v>
      </c>
      <c r="T29" s="79">
        <v>224886.4164347015</v>
      </c>
      <c r="U29" s="79">
        <f t="shared" si="0"/>
        <v>168664.81232602612</v>
      </c>
      <c r="V29" s="79">
        <f t="shared" si="1"/>
        <v>0</v>
      </c>
      <c r="W29" s="79">
        <f t="shared" si="6"/>
        <v>0</v>
      </c>
      <c r="X29" s="80">
        <f t="shared" si="7"/>
        <v>56221.604108675383</v>
      </c>
      <c r="Y29" s="81">
        <f t="shared" si="2"/>
        <v>224886.4164347015</v>
      </c>
      <c r="Z29" s="82">
        <f t="shared" si="3"/>
        <v>0</v>
      </c>
      <c r="AA29" s="82">
        <f t="shared" si="4"/>
        <v>9042.477540599175</v>
      </c>
    </row>
    <row r="30" spans="1:29" s="24" customFormat="1" ht="15">
      <c r="A30" s="45" t="s">
        <v>28</v>
      </c>
      <c r="B30" s="46" t="s">
        <v>28</v>
      </c>
      <c r="C30" s="47" t="s">
        <v>29</v>
      </c>
      <c r="D30" s="3" t="s">
        <v>30</v>
      </c>
      <c r="E30" s="3" t="s">
        <v>265</v>
      </c>
      <c r="F30" s="4" t="s">
        <v>31</v>
      </c>
      <c r="G30" s="5">
        <v>0.75</v>
      </c>
      <c r="H30" s="7">
        <v>1</v>
      </c>
      <c r="I30" s="7" t="s">
        <v>20</v>
      </c>
      <c r="J30" s="4" t="s">
        <v>32</v>
      </c>
      <c r="K30" s="4" t="s">
        <v>168</v>
      </c>
      <c r="L30" s="4" t="s">
        <v>169</v>
      </c>
      <c r="M30" s="4" t="s">
        <v>169</v>
      </c>
      <c r="N30" s="4" t="s">
        <v>247</v>
      </c>
      <c r="O30" s="4">
        <v>8880</v>
      </c>
      <c r="P30" s="86">
        <v>3.1800000000000006</v>
      </c>
      <c r="Q30" s="48">
        <v>37930.880000000005</v>
      </c>
      <c r="R30" s="48">
        <v>7586.1760000000013</v>
      </c>
      <c r="S30" s="48">
        <v>578.61038018936642</v>
      </c>
      <c r="T30" s="48">
        <v>46095.666380189374</v>
      </c>
      <c r="U30" s="48">
        <f t="shared" si="0"/>
        <v>34571.749785142034</v>
      </c>
      <c r="V30" s="48">
        <f t="shared" si="1"/>
        <v>0</v>
      </c>
      <c r="W30" s="48">
        <f t="shared" si="6"/>
        <v>0</v>
      </c>
      <c r="X30" s="49">
        <f t="shared" si="7"/>
        <v>11523.91659504734</v>
      </c>
      <c r="Y30" s="50">
        <f t="shared" si="2"/>
        <v>46095.666380189374</v>
      </c>
      <c r="Z30" s="51">
        <f t="shared" si="3"/>
        <v>0</v>
      </c>
      <c r="AA30" s="51">
        <f t="shared" si="4"/>
        <v>14495.492572386593</v>
      </c>
    </row>
    <row r="31" spans="1:29" s="24" customFormat="1" ht="15">
      <c r="A31" s="45" t="s">
        <v>40</v>
      </c>
      <c r="B31" s="46" t="s">
        <v>41</v>
      </c>
      <c r="C31" s="47" t="s">
        <v>42</v>
      </c>
      <c r="D31" s="3" t="s">
        <v>43</v>
      </c>
      <c r="E31" s="3" t="s">
        <v>272</v>
      </c>
      <c r="F31" s="4" t="s">
        <v>44</v>
      </c>
      <c r="G31" s="5">
        <v>0.75</v>
      </c>
      <c r="H31" s="7">
        <v>1</v>
      </c>
      <c r="I31" s="7" t="s">
        <v>20</v>
      </c>
      <c r="J31" s="84" t="s">
        <v>45</v>
      </c>
      <c r="K31" s="84" t="s">
        <v>168</v>
      </c>
      <c r="L31" s="4" t="s">
        <v>169</v>
      </c>
      <c r="M31" s="85" t="s">
        <v>169</v>
      </c>
      <c r="N31" s="4" t="s">
        <v>247</v>
      </c>
      <c r="O31" s="4">
        <v>8880</v>
      </c>
      <c r="P31" s="86">
        <v>10.370000000000001</v>
      </c>
      <c r="Q31" s="48">
        <v>102561.43</v>
      </c>
      <c r="R31" s="48">
        <v>20512.286</v>
      </c>
      <c r="S31" s="48">
        <v>5629.2120000000004</v>
      </c>
      <c r="T31" s="48">
        <v>128702.92799999999</v>
      </c>
      <c r="U31" s="48">
        <f t="shared" si="0"/>
        <v>96527.195999999996</v>
      </c>
      <c r="V31" s="48">
        <f t="shared" si="1"/>
        <v>0</v>
      </c>
      <c r="W31" s="48">
        <f t="shared" si="6"/>
        <v>0</v>
      </c>
      <c r="X31" s="49">
        <f t="shared" si="7"/>
        <v>32175.731999999989</v>
      </c>
      <c r="Y31" s="50">
        <f t="shared" si="2"/>
        <v>128702.92799999999</v>
      </c>
      <c r="Z31" s="51">
        <f t="shared" si="3"/>
        <v>0</v>
      </c>
      <c r="AA31" s="51">
        <f t="shared" si="4"/>
        <v>12411.082738669236</v>
      </c>
    </row>
    <row r="32" spans="1:29" s="24" customFormat="1" ht="15">
      <c r="A32" s="45" t="s">
        <v>28</v>
      </c>
      <c r="B32" s="46" t="s">
        <v>28</v>
      </c>
      <c r="C32" s="47" t="s">
        <v>29</v>
      </c>
      <c r="D32" s="3" t="s">
        <v>30</v>
      </c>
      <c r="E32" s="3" t="s">
        <v>267</v>
      </c>
      <c r="F32" s="4" t="s">
        <v>38</v>
      </c>
      <c r="G32" s="5">
        <v>0.75</v>
      </c>
      <c r="H32" s="7">
        <v>1</v>
      </c>
      <c r="I32" s="7" t="s">
        <v>20</v>
      </c>
      <c r="J32" s="4" t="s">
        <v>39</v>
      </c>
      <c r="K32" s="4" t="s">
        <v>205</v>
      </c>
      <c r="L32" s="4" t="s">
        <v>206</v>
      </c>
      <c r="M32" s="4" t="s">
        <v>179</v>
      </c>
      <c r="N32" s="4" t="s">
        <v>246</v>
      </c>
      <c r="O32" s="4">
        <v>8880</v>
      </c>
      <c r="P32" s="86">
        <v>39.840000000000003</v>
      </c>
      <c r="Q32" s="48">
        <v>206170.61</v>
      </c>
      <c r="R32" s="48">
        <v>41234.122000000003</v>
      </c>
      <c r="S32" s="48">
        <v>20793.897358089409</v>
      </c>
      <c r="T32" s="48">
        <v>268198.62935808941</v>
      </c>
      <c r="U32" s="48">
        <f t="shared" si="0"/>
        <v>201148.97201856706</v>
      </c>
      <c r="V32" s="48">
        <f t="shared" si="1"/>
        <v>0</v>
      </c>
      <c r="W32" s="48">
        <f t="shared" si="6"/>
        <v>0</v>
      </c>
      <c r="X32" s="49">
        <f t="shared" si="7"/>
        <v>67049.657339522353</v>
      </c>
      <c r="Y32" s="50">
        <f t="shared" si="2"/>
        <v>268198.62935808941</v>
      </c>
      <c r="Z32" s="51">
        <f t="shared" si="3"/>
        <v>0</v>
      </c>
      <c r="AA32" s="51">
        <f t="shared" si="4"/>
        <v>6731.8933071809588</v>
      </c>
    </row>
    <row r="33" spans="1:29" s="24" customFormat="1" ht="15">
      <c r="A33" s="45" t="s">
        <v>46</v>
      </c>
      <c r="B33" s="46" t="s">
        <v>46</v>
      </c>
      <c r="C33" s="47" t="s">
        <v>42</v>
      </c>
      <c r="D33" s="3" t="s">
        <v>47</v>
      </c>
      <c r="E33" s="3" t="s">
        <v>280</v>
      </c>
      <c r="F33" s="4" t="s">
        <v>48</v>
      </c>
      <c r="G33" s="5">
        <v>0.75</v>
      </c>
      <c r="H33" s="7">
        <v>1</v>
      </c>
      <c r="I33" s="7" t="s">
        <v>49</v>
      </c>
      <c r="J33" s="4" t="s">
        <v>25</v>
      </c>
      <c r="K33" s="4" t="s">
        <v>168</v>
      </c>
      <c r="L33" s="4" t="s">
        <v>169</v>
      </c>
      <c r="M33" s="4" t="s">
        <v>169</v>
      </c>
      <c r="N33" s="4" t="s">
        <v>247</v>
      </c>
      <c r="O33" s="4">
        <v>8880</v>
      </c>
      <c r="P33" s="86">
        <v>9.02</v>
      </c>
      <c r="Q33" s="48">
        <v>63154.23</v>
      </c>
      <c r="R33" s="48">
        <v>12630.846000000001</v>
      </c>
      <c r="S33" s="48">
        <v>16396.944</v>
      </c>
      <c r="T33" s="48">
        <v>92182.02</v>
      </c>
      <c r="U33" s="48">
        <f t="shared" si="0"/>
        <v>69136.514999999999</v>
      </c>
      <c r="V33" s="48">
        <f t="shared" si="1"/>
        <v>0</v>
      </c>
      <c r="W33" s="48">
        <f t="shared" si="6"/>
        <v>0</v>
      </c>
      <c r="X33" s="49">
        <f t="shared" si="7"/>
        <v>23045.505000000005</v>
      </c>
      <c r="Y33" s="50">
        <f t="shared" si="2"/>
        <v>92182.02</v>
      </c>
      <c r="Z33" s="51">
        <f t="shared" si="3"/>
        <v>0</v>
      </c>
      <c r="AA33" s="51">
        <f t="shared" si="4"/>
        <v>10219.736141906875</v>
      </c>
    </row>
    <row r="34" spans="1:29" s="24" customFormat="1" ht="15">
      <c r="A34" s="45" t="s">
        <v>40</v>
      </c>
      <c r="B34" s="46" t="s">
        <v>41</v>
      </c>
      <c r="C34" s="47" t="s">
        <v>42</v>
      </c>
      <c r="D34" s="3" t="s">
        <v>43</v>
      </c>
      <c r="E34" s="3" t="s">
        <v>273</v>
      </c>
      <c r="F34" s="4" t="s">
        <v>114</v>
      </c>
      <c r="G34" s="5">
        <v>0.25</v>
      </c>
      <c r="H34" s="7">
        <v>26</v>
      </c>
      <c r="I34" s="7" t="s">
        <v>113</v>
      </c>
      <c r="J34" s="4" t="s">
        <v>115</v>
      </c>
      <c r="K34" s="4" t="s">
        <v>203</v>
      </c>
      <c r="L34" s="4" t="s">
        <v>204</v>
      </c>
      <c r="M34" s="4" t="s">
        <v>173</v>
      </c>
      <c r="N34" s="4" t="s">
        <v>247</v>
      </c>
      <c r="O34" s="4">
        <v>10240</v>
      </c>
      <c r="P34" s="86">
        <v>4.2976074401860043</v>
      </c>
      <c r="Q34" s="48">
        <v>33389.279999999999</v>
      </c>
      <c r="R34" s="48">
        <v>29871.360000000001</v>
      </c>
      <c r="S34" s="48">
        <v>16396.32</v>
      </c>
      <c r="T34" s="48">
        <v>79656.959999999992</v>
      </c>
      <c r="U34" s="48">
        <f t="shared" ref="U34:U65" si="8">T34*G34</f>
        <v>19914.239999999998</v>
      </c>
      <c r="V34" s="48">
        <f t="shared" ref="V34:V70" si="9">IF(G34=25%,(T34*G34),0)</f>
        <v>19914.239999999998</v>
      </c>
      <c r="W34" s="48">
        <f t="shared" si="6"/>
        <v>39828.479999999996</v>
      </c>
      <c r="X34" s="49">
        <f t="shared" si="7"/>
        <v>0</v>
      </c>
      <c r="Y34" s="50">
        <f t="shared" ref="Y34:Y65" si="10">SUM(U34:X34)</f>
        <v>79656.959999999992</v>
      </c>
      <c r="Z34" s="51">
        <f t="shared" ref="Z34:Z51" si="11">+Y34-T34</f>
        <v>0</v>
      </c>
      <c r="AA34" s="51">
        <f t="shared" ref="AA34:AA51" si="12">+T34/P34</f>
        <v>18535.187568586389</v>
      </c>
      <c r="AB34" s="34"/>
      <c r="AC34" s="34"/>
    </row>
    <row r="35" spans="1:29" s="34" customFormat="1" ht="15">
      <c r="A35" s="45" t="s">
        <v>28</v>
      </c>
      <c r="B35" s="46" t="s">
        <v>28</v>
      </c>
      <c r="C35" s="47" t="s">
        <v>29</v>
      </c>
      <c r="D35" s="3" t="s">
        <v>30</v>
      </c>
      <c r="E35" s="3" t="s">
        <v>285</v>
      </c>
      <c r="F35" s="4" t="s">
        <v>35</v>
      </c>
      <c r="G35" s="5">
        <v>0.25</v>
      </c>
      <c r="H35" s="7">
        <v>26</v>
      </c>
      <c r="I35" s="7" t="s">
        <v>113</v>
      </c>
      <c r="J35" s="4" t="s">
        <v>36</v>
      </c>
      <c r="K35" s="4" t="s">
        <v>174</v>
      </c>
      <c r="L35" s="4" t="s">
        <v>175</v>
      </c>
      <c r="M35" s="4" t="s">
        <v>173</v>
      </c>
      <c r="N35" s="4" t="s">
        <v>247</v>
      </c>
      <c r="O35" s="4">
        <v>10240</v>
      </c>
      <c r="P35" s="86">
        <v>0.16500000000000001</v>
      </c>
      <c r="Q35" s="48">
        <v>14105.599999999999</v>
      </c>
      <c r="R35" s="48">
        <v>10224.438</v>
      </c>
      <c r="S35" s="48">
        <v>2935.13</v>
      </c>
      <c r="T35" s="48">
        <v>27265.167999999998</v>
      </c>
      <c r="U35" s="48">
        <f t="shared" si="8"/>
        <v>6816.2919999999995</v>
      </c>
      <c r="V35" s="48">
        <f t="shared" si="9"/>
        <v>6816.2919999999995</v>
      </c>
      <c r="W35" s="48">
        <f t="shared" si="6"/>
        <v>13632.583999999997</v>
      </c>
      <c r="X35" s="49">
        <f t="shared" si="7"/>
        <v>0</v>
      </c>
      <c r="Y35" s="50">
        <f t="shared" si="10"/>
        <v>27265.167999999998</v>
      </c>
      <c r="Z35" s="51">
        <f t="shared" si="11"/>
        <v>0</v>
      </c>
      <c r="AA35" s="51">
        <f t="shared" si="12"/>
        <v>165243.44242424241</v>
      </c>
      <c r="AB35" s="24"/>
      <c r="AC35" s="24"/>
    </row>
    <row r="36" spans="1:29" s="34" customFormat="1" ht="15">
      <c r="A36" s="45" t="s">
        <v>40</v>
      </c>
      <c r="B36" s="46" t="s">
        <v>55</v>
      </c>
      <c r="C36" s="47" t="s">
        <v>42</v>
      </c>
      <c r="D36" s="3" t="s">
        <v>43</v>
      </c>
      <c r="E36" s="3" t="s">
        <v>276</v>
      </c>
      <c r="F36" s="4" t="s">
        <v>86</v>
      </c>
      <c r="G36" s="5">
        <v>0.25</v>
      </c>
      <c r="H36" s="7">
        <v>16</v>
      </c>
      <c r="I36" s="7" t="s">
        <v>96</v>
      </c>
      <c r="J36" s="4" t="s">
        <v>214</v>
      </c>
      <c r="K36" s="4" t="s">
        <v>213</v>
      </c>
      <c r="L36" s="4" t="s">
        <v>188</v>
      </c>
      <c r="M36" s="4" t="s">
        <v>173</v>
      </c>
      <c r="N36" s="4" t="s">
        <v>247</v>
      </c>
      <c r="O36" s="4">
        <v>7740</v>
      </c>
      <c r="P36" s="86">
        <f>3.18293333333334*50%</f>
        <v>1.5914666666666699</v>
      </c>
      <c r="Q36" s="48">
        <f>17754.2*50%</f>
        <v>8877.1</v>
      </c>
      <c r="R36" s="48">
        <f>14203.36*50%</f>
        <v>7101.68</v>
      </c>
      <c r="S36" s="48">
        <f>550*50%</f>
        <v>275</v>
      </c>
      <c r="T36" s="48">
        <f>32507.56*50%</f>
        <v>16253.78</v>
      </c>
      <c r="U36" s="48">
        <f t="shared" si="8"/>
        <v>4063.4450000000002</v>
      </c>
      <c r="V36" s="48">
        <f t="shared" si="9"/>
        <v>4063.4450000000002</v>
      </c>
      <c r="W36" s="48">
        <f t="shared" si="6"/>
        <v>8126.8900000000012</v>
      </c>
      <c r="X36" s="49">
        <f t="shared" si="7"/>
        <v>0</v>
      </c>
      <c r="Y36" s="50">
        <f t="shared" si="10"/>
        <v>16253.780000000002</v>
      </c>
      <c r="Z36" s="51">
        <f t="shared" si="11"/>
        <v>0</v>
      </c>
      <c r="AA36" s="51">
        <f t="shared" si="12"/>
        <v>10213.082272117943</v>
      </c>
      <c r="AB36" s="24"/>
      <c r="AC36" s="24"/>
    </row>
    <row r="37" spans="1:29" s="24" customFormat="1" ht="15">
      <c r="A37" s="45" t="s">
        <v>40</v>
      </c>
      <c r="B37" s="46" t="s">
        <v>55</v>
      </c>
      <c r="C37" s="47" t="s">
        <v>42</v>
      </c>
      <c r="D37" s="3" t="s">
        <v>43</v>
      </c>
      <c r="E37" s="3" t="s">
        <v>276</v>
      </c>
      <c r="F37" s="4" t="s">
        <v>86</v>
      </c>
      <c r="G37" s="5">
        <v>0.25</v>
      </c>
      <c r="H37" s="7">
        <v>16</v>
      </c>
      <c r="I37" s="7" t="s">
        <v>96</v>
      </c>
      <c r="J37" s="4" t="s">
        <v>98</v>
      </c>
      <c r="K37" s="4" t="s">
        <v>217</v>
      </c>
      <c r="L37" s="4" t="s">
        <v>216</v>
      </c>
      <c r="M37" s="4" t="s">
        <v>164</v>
      </c>
      <c r="N37" s="4" t="s">
        <v>246</v>
      </c>
      <c r="O37" s="4">
        <v>7740</v>
      </c>
      <c r="P37" s="86">
        <f>3.18293333333334*50%</f>
        <v>1.5914666666666699</v>
      </c>
      <c r="Q37" s="48">
        <f>17754.2*50%</f>
        <v>8877.1</v>
      </c>
      <c r="R37" s="48">
        <f>14203.36*50%</f>
        <v>7101.68</v>
      </c>
      <c r="S37" s="48">
        <f>550*50%</f>
        <v>275</v>
      </c>
      <c r="T37" s="48">
        <f>32507.56*50%</f>
        <v>16253.78</v>
      </c>
      <c r="U37" s="48">
        <f t="shared" si="8"/>
        <v>4063.4450000000002</v>
      </c>
      <c r="V37" s="48">
        <f t="shared" si="9"/>
        <v>4063.4450000000002</v>
      </c>
      <c r="W37" s="48">
        <f t="shared" si="6"/>
        <v>8126.8900000000012</v>
      </c>
      <c r="X37" s="49">
        <f t="shared" si="7"/>
        <v>0</v>
      </c>
      <c r="Y37" s="50">
        <f t="shared" si="10"/>
        <v>16253.780000000002</v>
      </c>
      <c r="Z37" s="51">
        <f t="shared" si="11"/>
        <v>0</v>
      </c>
      <c r="AA37" s="51">
        <f t="shared" si="12"/>
        <v>10213.082272117943</v>
      </c>
      <c r="AB37" s="34"/>
    </row>
    <row r="38" spans="1:29" s="24" customFormat="1" ht="15">
      <c r="A38" s="45" t="s">
        <v>40</v>
      </c>
      <c r="B38" s="46" t="s">
        <v>61</v>
      </c>
      <c r="C38" s="47" t="s">
        <v>42</v>
      </c>
      <c r="D38" s="3" t="s">
        <v>62</v>
      </c>
      <c r="E38" s="3" t="s">
        <v>63</v>
      </c>
      <c r="F38" s="4" t="s">
        <v>63</v>
      </c>
      <c r="G38" s="5">
        <v>0.25</v>
      </c>
      <c r="H38" s="7">
        <v>16</v>
      </c>
      <c r="I38" s="7" t="s">
        <v>96</v>
      </c>
      <c r="J38" s="4" t="s">
        <v>99</v>
      </c>
      <c r="K38" s="4" t="s">
        <v>212</v>
      </c>
      <c r="L38" s="4" t="s">
        <v>202</v>
      </c>
      <c r="M38" s="4" t="s">
        <v>191</v>
      </c>
      <c r="N38" s="4" t="s">
        <v>247</v>
      </c>
      <c r="O38" s="4">
        <v>7740</v>
      </c>
      <c r="P38" s="86">
        <v>1.554438095238095</v>
      </c>
      <c r="Q38" s="48">
        <v>8418.6</v>
      </c>
      <c r="R38" s="48">
        <v>6734.88</v>
      </c>
      <c r="S38" s="48"/>
      <c r="T38" s="48">
        <v>15153.48</v>
      </c>
      <c r="U38" s="48">
        <f t="shared" si="8"/>
        <v>3788.37</v>
      </c>
      <c r="V38" s="48">
        <f t="shared" si="9"/>
        <v>3788.37</v>
      </c>
      <c r="W38" s="48">
        <f t="shared" si="6"/>
        <v>7576.7400000000007</v>
      </c>
      <c r="X38" s="49">
        <f t="shared" si="7"/>
        <v>0</v>
      </c>
      <c r="Y38" s="50">
        <f t="shared" si="10"/>
        <v>15153.48</v>
      </c>
      <c r="Z38" s="51">
        <f t="shared" si="11"/>
        <v>0</v>
      </c>
      <c r="AA38" s="51">
        <f t="shared" si="12"/>
        <v>9748.5258798157065</v>
      </c>
    </row>
    <row r="39" spans="1:29" s="24" customFormat="1" ht="15">
      <c r="A39" s="45" t="s">
        <v>40</v>
      </c>
      <c r="B39" s="46" t="s">
        <v>55</v>
      </c>
      <c r="C39" s="47" t="s">
        <v>42</v>
      </c>
      <c r="D39" s="3" t="s">
        <v>43</v>
      </c>
      <c r="E39" s="3" t="s">
        <v>277</v>
      </c>
      <c r="F39" s="4" t="s">
        <v>85</v>
      </c>
      <c r="G39" s="5">
        <v>0.25</v>
      </c>
      <c r="H39" s="7">
        <v>16</v>
      </c>
      <c r="I39" s="7" t="s">
        <v>96</v>
      </c>
      <c r="J39" s="4" t="s">
        <v>97</v>
      </c>
      <c r="K39" s="4" t="s">
        <v>201</v>
      </c>
      <c r="L39" s="4" t="s">
        <v>202</v>
      </c>
      <c r="M39" s="4" t="s">
        <v>191</v>
      </c>
      <c r="N39" s="4" t="s">
        <v>247</v>
      </c>
      <c r="O39" s="4">
        <v>7740</v>
      </c>
      <c r="P39" s="86">
        <v>2.7356952380952357</v>
      </c>
      <c r="Q39" s="48">
        <v>16392.400000000001</v>
      </c>
      <c r="R39" s="48">
        <v>13113.92</v>
      </c>
      <c r="S39" s="48">
        <v>1490.76</v>
      </c>
      <c r="T39" s="48">
        <v>30997.08</v>
      </c>
      <c r="U39" s="48">
        <f t="shared" si="8"/>
        <v>7749.27</v>
      </c>
      <c r="V39" s="48">
        <f t="shared" si="9"/>
        <v>7749.27</v>
      </c>
      <c r="W39" s="48">
        <f t="shared" si="6"/>
        <v>15498.54</v>
      </c>
      <c r="X39" s="49">
        <f t="shared" si="7"/>
        <v>0</v>
      </c>
      <c r="Y39" s="50">
        <f t="shared" si="10"/>
        <v>30997.08</v>
      </c>
      <c r="Z39" s="51">
        <f t="shared" si="11"/>
        <v>0</v>
      </c>
      <c r="AA39" s="51">
        <f t="shared" si="12"/>
        <v>11330.604216565487</v>
      </c>
    </row>
    <row r="40" spans="1:29" s="24" customFormat="1" ht="15">
      <c r="A40" s="45" t="s">
        <v>46</v>
      </c>
      <c r="B40" s="46" t="s">
        <v>46</v>
      </c>
      <c r="C40" s="47" t="s">
        <v>42</v>
      </c>
      <c r="D40" s="3" t="s">
        <v>47</v>
      </c>
      <c r="E40" s="3" t="s">
        <v>50</v>
      </c>
      <c r="F40" s="4" t="s">
        <v>50</v>
      </c>
      <c r="G40" s="5">
        <v>0.25</v>
      </c>
      <c r="H40" s="7">
        <v>16</v>
      </c>
      <c r="I40" s="7" t="s">
        <v>100</v>
      </c>
      <c r="J40" s="4" t="s">
        <v>52</v>
      </c>
      <c r="K40" s="4" t="s">
        <v>200</v>
      </c>
      <c r="L40" s="4" t="s">
        <v>200</v>
      </c>
      <c r="M40" s="4" t="s">
        <v>248</v>
      </c>
      <c r="N40" s="4" t="s">
        <v>246</v>
      </c>
      <c r="O40" s="4">
        <v>7740</v>
      </c>
      <c r="P40" s="86">
        <v>18.290361904761905</v>
      </c>
      <c r="Q40" s="48">
        <v>75208.371595275006</v>
      </c>
      <c r="R40" s="48">
        <v>53577.337276220002</v>
      </c>
      <c r="S40" s="48">
        <v>4873.25</v>
      </c>
      <c r="T40" s="48">
        <v>133658.95887149501</v>
      </c>
      <c r="U40" s="48">
        <f t="shared" si="8"/>
        <v>33414.739717873752</v>
      </c>
      <c r="V40" s="48">
        <f t="shared" si="9"/>
        <v>33414.739717873752</v>
      </c>
      <c r="W40" s="48">
        <f t="shared" si="6"/>
        <v>66829.479435747518</v>
      </c>
      <c r="X40" s="49">
        <f t="shared" si="7"/>
        <v>0</v>
      </c>
      <c r="Y40" s="50">
        <f t="shared" si="10"/>
        <v>133658.95887149504</v>
      </c>
      <c r="Z40" s="51">
        <f t="shared" si="11"/>
        <v>0</v>
      </c>
      <c r="AA40" s="51">
        <f t="shared" si="12"/>
        <v>7307.6169606407202</v>
      </c>
    </row>
    <row r="41" spans="1:29" s="24" customFormat="1" ht="15">
      <c r="A41" s="45" t="s">
        <v>101</v>
      </c>
      <c r="B41" s="46" t="s">
        <v>101</v>
      </c>
      <c r="C41" s="47" t="s">
        <v>42</v>
      </c>
      <c r="D41" s="3" t="s">
        <v>102</v>
      </c>
      <c r="E41" s="3" t="s">
        <v>289</v>
      </c>
      <c r="F41" s="4" t="s">
        <v>268</v>
      </c>
      <c r="G41" s="5">
        <v>0.25</v>
      </c>
      <c r="H41" s="7">
        <v>16</v>
      </c>
      <c r="I41" s="7" t="s">
        <v>103</v>
      </c>
      <c r="J41" s="4" t="s">
        <v>104</v>
      </c>
      <c r="K41" s="4" t="s">
        <v>192</v>
      </c>
      <c r="L41" s="4" t="s">
        <v>192</v>
      </c>
      <c r="M41" s="4" t="s">
        <v>248</v>
      </c>
      <c r="N41" s="4" t="s">
        <v>246</v>
      </c>
      <c r="O41" s="4">
        <v>7740</v>
      </c>
      <c r="P41" s="86">
        <v>7.9315047619047556</v>
      </c>
      <c r="Q41" s="48">
        <v>32115.300000000003</v>
      </c>
      <c r="R41" s="48">
        <v>25692.239999999998</v>
      </c>
      <c r="S41" s="48">
        <v>8258.2999999999993</v>
      </c>
      <c r="T41" s="48">
        <v>66065.84</v>
      </c>
      <c r="U41" s="48">
        <f t="shared" si="8"/>
        <v>16516.46</v>
      </c>
      <c r="V41" s="48">
        <f t="shared" si="9"/>
        <v>16516.46</v>
      </c>
      <c r="W41" s="48">
        <f t="shared" si="6"/>
        <v>33032.92</v>
      </c>
      <c r="X41" s="49">
        <f t="shared" si="7"/>
        <v>0</v>
      </c>
      <c r="Y41" s="50">
        <f t="shared" si="10"/>
        <v>66065.84</v>
      </c>
      <c r="Z41" s="51">
        <f t="shared" si="11"/>
        <v>0</v>
      </c>
      <c r="AA41" s="51">
        <f t="shared" si="12"/>
        <v>8329.5467862940859</v>
      </c>
    </row>
    <row r="42" spans="1:29" s="24" customFormat="1" ht="15">
      <c r="A42" s="45" t="s">
        <v>40</v>
      </c>
      <c r="B42" s="46" t="s">
        <v>66</v>
      </c>
      <c r="C42" s="47" t="s">
        <v>67</v>
      </c>
      <c r="D42" s="3" t="s">
        <v>68</v>
      </c>
      <c r="E42" s="3" t="s">
        <v>69</v>
      </c>
      <c r="F42" s="4" t="s">
        <v>69</v>
      </c>
      <c r="G42" s="5">
        <v>0.4</v>
      </c>
      <c r="H42" s="7">
        <v>21</v>
      </c>
      <c r="I42" s="7" t="s">
        <v>108</v>
      </c>
      <c r="J42" s="4" t="s">
        <v>71</v>
      </c>
      <c r="K42" s="4" t="s">
        <v>190</v>
      </c>
      <c r="L42" s="8" t="s">
        <v>190</v>
      </c>
      <c r="M42" s="8" t="s">
        <v>224</v>
      </c>
      <c r="N42" s="8" t="s">
        <v>246</v>
      </c>
      <c r="O42" s="4">
        <v>7371</v>
      </c>
      <c r="P42" s="86">
        <v>1.2380952380952381</v>
      </c>
      <c r="Q42" s="48">
        <v>4815.8100000000004</v>
      </c>
      <c r="R42" s="48">
        <v>2889.4860000000003</v>
      </c>
      <c r="S42" s="48"/>
      <c r="T42" s="48">
        <v>7705.2960000000003</v>
      </c>
      <c r="U42" s="48">
        <f t="shared" si="8"/>
        <v>3082.1184000000003</v>
      </c>
      <c r="V42" s="48">
        <f t="shared" si="9"/>
        <v>0</v>
      </c>
      <c r="W42" s="48">
        <f t="shared" si="6"/>
        <v>0</v>
      </c>
      <c r="X42" s="49">
        <f t="shared" si="7"/>
        <v>4623.1776</v>
      </c>
      <c r="Y42" s="50">
        <f t="shared" si="10"/>
        <v>7705.2960000000003</v>
      </c>
      <c r="Z42" s="51">
        <f t="shared" si="11"/>
        <v>0</v>
      </c>
      <c r="AA42" s="51">
        <f t="shared" si="12"/>
        <v>6223.5083076923074</v>
      </c>
    </row>
    <row r="43" spans="1:29" s="24" customFormat="1" ht="15">
      <c r="A43" s="45" t="s">
        <v>46</v>
      </c>
      <c r="B43" s="46" t="s">
        <v>46</v>
      </c>
      <c r="C43" s="47" t="s">
        <v>42</v>
      </c>
      <c r="D43" s="3" t="s">
        <v>47</v>
      </c>
      <c r="E43" s="3" t="s">
        <v>53</v>
      </c>
      <c r="F43" s="4" t="s">
        <v>53</v>
      </c>
      <c r="G43" s="5">
        <v>0.25</v>
      </c>
      <c r="H43" s="7">
        <v>21</v>
      </c>
      <c r="I43" s="7" t="s">
        <v>108</v>
      </c>
      <c r="J43" s="4" t="s">
        <v>54</v>
      </c>
      <c r="K43" s="4" t="s">
        <v>218</v>
      </c>
      <c r="L43" s="4" t="s">
        <v>182</v>
      </c>
      <c r="M43" s="4" t="s">
        <v>167</v>
      </c>
      <c r="N43" s="4" t="s">
        <v>247</v>
      </c>
      <c r="O43" s="4">
        <v>7371</v>
      </c>
      <c r="P43" s="86">
        <v>13.992063492063492</v>
      </c>
      <c r="Q43" s="48">
        <v>55639.479999999996</v>
      </c>
      <c r="R43" s="48">
        <v>33808.332000000002</v>
      </c>
      <c r="S43" s="48">
        <v>707.74</v>
      </c>
      <c r="T43" s="48">
        <v>90155.551999999981</v>
      </c>
      <c r="U43" s="48">
        <f t="shared" si="8"/>
        <v>22538.887999999995</v>
      </c>
      <c r="V43" s="48">
        <f t="shared" si="9"/>
        <v>22538.887999999995</v>
      </c>
      <c r="W43" s="48">
        <f t="shared" si="6"/>
        <v>45077.775999999998</v>
      </c>
      <c r="X43" s="49">
        <f t="shared" si="7"/>
        <v>0</v>
      </c>
      <c r="Y43" s="50">
        <f t="shared" si="10"/>
        <v>90155.551999999996</v>
      </c>
      <c r="Z43" s="51">
        <f t="shared" si="11"/>
        <v>0</v>
      </c>
      <c r="AA43" s="51">
        <f t="shared" si="12"/>
        <v>6443.3349699376049</v>
      </c>
    </row>
    <row r="44" spans="1:29" s="24" customFormat="1" ht="15">
      <c r="A44" s="45" t="s">
        <v>40</v>
      </c>
      <c r="B44" s="46" t="s">
        <v>41</v>
      </c>
      <c r="C44" s="47" t="s">
        <v>42</v>
      </c>
      <c r="D44" s="3" t="s">
        <v>62</v>
      </c>
      <c r="E44" s="3" t="s">
        <v>109</v>
      </c>
      <c r="F44" s="4" t="s">
        <v>109</v>
      </c>
      <c r="G44" s="5">
        <v>0.25</v>
      </c>
      <c r="H44" s="7">
        <v>21</v>
      </c>
      <c r="I44" s="7" t="s">
        <v>108</v>
      </c>
      <c r="J44" s="4" t="s">
        <v>110</v>
      </c>
      <c r="K44" s="4" t="s">
        <v>168</v>
      </c>
      <c r="L44" s="4" t="s">
        <v>169</v>
      </c>
      <c r="M44" s="4" t="s">
        <v>173</v>
      </c>
      <c r="N44" s="4" t="s">
        <v>247</v>
      </c>
      <c r="O44" s="4">
        <v>7371</v>
      </c>
      <c r="P44" s="86">
        <v>6.5079365079365079</v>
      </c>
      <c r="Q44" s="48">
        <v>28200.880000000001</v>
      </c>
      <c r="R44" s="48">
        <v>17695.524000000001</v>
      </c>
      <c r="S44" s="48">
        <v>1291.6599999999999</v>
      </c>
      <c r="T44" s="48">
        <v>47188.063999999998</v>
      </c>
      <c r="U44" s="48">
        <f t="shared" si="8"/>
        <v>11797.016</v>
      </c>
      <c r="V44" s="48">
        <f t="shared" si="9"/>
        <v>11797.016</v>
      </c>
      <c r="W44" s="48">
        <f t="shared" si="6"/>
        <v>23594.031999999996</v>
      </c>
      <c r="X44" s="49">
        <f t="shared" si="7"/>
        <v>0</v>
      </c>
      <c r="Y44" s="50">
        <f t="shared" si="10"/>
        <v>47188.063999999998</v>
      </c>
      <c r="Z44" s="51">
        <f t="shared" si="11"/>
        <v>0</v>
      </c>
      <c r="AA44" s="51">
        <f t="shared" si="12"/>
        <v>7250.8488585365849</v>
      </c>
    </row>
    <row r="45" spans="1:29" s="24" customFormat="1" ht="15">
      <c r="A45" s="45" t="s">
        <v>40</v>
      </c>
      <c r="B45" s="46" t="s">
        <v>41</v>
      </c>
      <c r="C45" s="47" t="s">
        <v>42</v>
      </c>
      <c r="D45" s="3" t="s">
        <v>43</v>
      </c>
      <c r="E45" s="3" t="s">
        <v>279</v>
      </c>
      <c r="F45" s="4" t="s">
        <v>59</v>
      </c>
      <c r="G45" s="5">
        <v>0.25</v>
      </c>
      <c r="H45" s="7">
        <v>21</v>
      </c>
      <c r="I45" s="7" t="s">
        <v>108</v>
      </c>
      <c r="J45" s="4" t="s">
        <v>60</v>
      </c>
      <c r="K45" s="4" t="s">
        <v>219</v>
      </c>
      <c r="L45" s="4" t="s">
        <v>183</v>
      </c>
      <c r="M45" s="4" t="s">
        <v>167</v>
      </c>
      <c r="N45" s="4" t="s">
        <v>247</v>
      </c>
      <c r="O45" s="4">
        <v>7371</v>
      </c>
      <c r="P45" s="86">
        <v>9.0476190476190474</v>
      </c>
      <c r="Q45" s="48">
        <v>36191.700000000004</v>
      </c>
      <c r="R45" s="48">
        <v>21715.02</v>
      </c>
      <c r="S45" s="48">
        <v>0</v>
      </c>
      <c r="T45" s="48">
        <v>57906.720000000008</v>
      </c>
      <c r="U45" s="48">
        <f t="shared" si="8"/>
        <v>14476.680000000002</v>
      </c>
      <c r="V45" s="48">
        <f t="shared" si="9"/>
        <v>14476.680000000002</v>
      </c>
      <c r="W45" s="48">
        <f t="shared" si="6"/>
        <v>28953.360000000008</v>
      </c>
      <c r="X45" s="49">
        <f t="shared" si="7"/>
        <v>0</v>
      </c>
      <c r="Y45" s="50">
        <f t="shared" si="10"/>
        <v>57906.720000000016</v>
      </c>
      <c r="Z45" s="51">
        <f t="shared" si="11"/>
        <v>0</v>
      </c>
      <c r="AA45" s="51">
        <f t="shared" si="12"/>
        <v>6400.2164210526325</v>
      </c>
      <c r="AC45" s="34"/>
    </row>
    <row r="46" spans="1:29" s="24" customFormat="1" ht="15">
      <c r="A46" s="45" t="s">
        <v>40</v>
      </c>
      <c r="B46" s="46" t="s">
        <v>55</v>
      </c>
      <c r="C46" s="47" t="s">
        <v>42</v>
      </c>
      <c r="D46" s="3" t="s">
        <v>43</v>
      </c>
      <c r="E46" s="3" t="s">
        <v>277</v>
      </c>
      <c r="F46" s="4" t="s">
        <v>85</v>
      </c>
      <c r="G46" s="5">
        <v>0.25</v>
      </c>
      <c r="H46" s="7">
        <v>21</v>
      </c>
      <c r="I46" s="7" t="s">
        <v>111</v>
      </c>
      <c r="J46" s="4" t="s">
        <v>112</v>
      </c>
      <c r="K46" s="4" t="s">
        <v>225</v>
      </c>
      <c r="L46" s="4" t="s">
        <v>209</v>
      </c>
      <c r="M46" s="4" t="s">
        <v>191</v>
      </c>
      <c r="N46" s="4" t="s">
        <v>247</v>
      </c>
      <c r="O46" s="4">
        <v>7371</v>
      </c>
      <c r="P46" s="86">
        <v>0.86507936507936545</v>
      </c>
      <c r="Q46" s="48">
        <v>3852</v>
      </c>
      <c r="R46" s="48">
        <v>1926</v>
      </c>
      <c r="S46" s="48"/>
      <c r="T46" s="48">
        <v>5778</v>
      </c>
      <c r="U46" s="48">
        <f t="shared" si="8"/>
        <v>1444.5</v>
      </c>
      <c r="V46" s="48">
        <f t="shared" si="9"/>
        <v>1444.5</v>
      </c>
      <c r="W46" s="48">
        <f t="shared" si="6"/>
        <v>2889</v>
      </c>
      <c r="X46" s="49">
        <f t="shared" si="7"/>
        <v>0</v>
      </c>
      <c r="Y46" s="50">
        <f t="shared" si="10"/>
        <v>5778</v>
      </c>
      <c r="Z46" s="51">
        <f t="shared" si="11"/>
        <v>0</v>
      </c>
      <c r="AA46" s="51">
        <f t="shared" si="12"/>
        <v>6679.1559633027491</v>
      </c>
    </row>
    <row r="47" spans="1:29" s="34" customFormat="1" ht="15">
      <c r="A47" s="45" t="s">
        <v>40</v>
      </c>
      <c r="B47" s="46" t="s">
        <v>61</v>
      </c>
      <c r="C47" s="47" t="s">
        <v>42</v>
      </c>
      <c r="D47" s="3" t="s">
        <v>62</v>
      </c>
      <c r="E47" s="3" t="s">
        <v>63</v>
      </c>
      <c r="F47" s="4" t="s">
        <v>63</v>
      </c>
      <c r="G47" s="5">
        <v>0.25</v>
      </c>
      <c r="H47" s="7">
        <v>10</v>
      </c>
      <c r="I47" s="7" t="s">
        <v>57</v>
      </c>
      <c r="J47" s="4" t="s">
        <v>64</v>
      </c>
      <c r="K47" s="4" t="s">
        <v>166</v>
      </c>
      <c r="L47" s="4" t="s">
        <v>166</v>
      </c>
      <c r="M47" s="4" t="s">
        <v>191</v>
      </c>
      <c r="N47" s="4" t="s">
        <v>247</v>
      </c>
      <c r="O47" s="4">
        <v>8895</v>
      </c>
      <c r="P47" s="86">
        <v>13.092233009708755</v>
      </c>
      <c r="Q47" s="48">
        <v>72241.05</v>
      </c>
      <c r="R47" s="48">
        <v>42320.52</v>
      </c>
      <c r="S47" s="48"/>
      <c r="T47" s="48">
        <v>114561.57</v>
      </c>
      <c r="U47" s="48">
        <f t="shared" si="8"/>
        <v>28640.392500000002</v>
      </c>
      <c r="V47" s="48">
        <f t="shared" si="9"/>
        <v>28640.392500000002</v>
      </c>
      <c r="W47" s="48">
        <f t="shared" si="6"/>
        <v>57280.785000000003</v>
      </c>
      <c r="X47" s="49">
        <f t="shared" si="7"/>
        <v>0</v>
      </c>
      <c r="Y47" s="50">
        <f t="shared" si="10"/>
        <v>114561.57</v>
      </c>
      <c r="Z47" s="51">
        <f t="shared" si="11"/>
        <v>0</v>
      </c>
      <c r="AA47" s="51">
        <f t="shared" si="12"/>
        <v>8750.3460956618364</v>
      </c>
      <c r="AC47" s="24"/>
    </row>
    <row r="48" spans="1:29" s="34" customFormat="1" ht="15">
      <c r="A48" s="45" t="s">
        <v>40</v>
      </c>
      <c r="B48" s="46" t="s">
        <v>55</v>
      </c>
      <c r="C48" s="47" t="s">
        <v>42</v>
      </c>
      <c r="D48" s="3" t="s">
        <v>43</v>
      </c>
      <c r="E48" s="3" t="s">
        <v>275</v>
      </c>
      <c r="F48" s="4" t="s">
        <v>56</v>
      </c>
      <c r="G48" s="5">
        <v>0.25</v>
      </c>
      <c r="H48" s="7">
        <v>10</v>
      </c>
      <c r="I48" s="7" t="s">
        <v>57</v>
      </c>
      <c r="J48" s="4" t="s">
        <v>58</v>
      </c>
      <c r="K48" s="4" t="s">
        <v>165</v>
      </c>
      <c r="L48" s="4" t="s">
        <v>166</v>
      </c>
      <c r="M48" s="4" t="s">
        <v>191</v>
      </c>
      <c r="N48" s="4" t="s">
        <v>247</v>
      </c>
      <c r="O48" s="4">
        <v>8895</v>
      </c>
      <c r="P48" s="86">
        <v>12.873786407766987</v>
      </c>
      <c r="Q48" s="48">
        <v>70268.916899999997</v>
      </c>
      <c r="R48" s="48">
        <v>45458.400600000001</v>
      </c>
      <c r="S48" s="48"/>
      <c r="T48" s="48">
        <v>115727.3175</v>
      </c>
      <c r="U48" s="48">
        <f t="shared" si="8"/>
        <v>28931.829375000001</v>
      </c>
      <c r="V48" s="48">
        <f t="shared" si="9"/>
        <v>28931.829375000001</v>
      </c>
      <c r="W48" s="48">
        <f t="shared" si="6"/>
        <v>57863.658750000002</v>
      </c>
      <c r="X48" s="49">
        <f t="shared" si="7"/>
        <v>0</v>
      </c>
      <c r="Y48" s="50">
        <f t="shared" si="10"/>
        <v>115727.3175</v>
      </c>
      <c r="Z48" s="51">
        <f t="shared" si="11"/>
        <v>0</v>
      </c>
      <c r="AA48" s="51">
        <f t="shared" si="12"/>
        <v>8989.3768495475142</v>
      </c>
      <c r="AB48" s="24"/>
      <c r="AC48" s="24"/>
    </row>
    <row r="49" spans="1:29" s="24" customFormat="1" ht="15">
      <c r="A49" s="45" t="s">
        <v>40</v>
      </c>
      <c r="B49" s="46" t="s">
        <v>41</v>
      </c>
      <c r="C49" s="47" t="s">
        <v>42</v>
      </c>
      <c r="D49" s="3" t="s">
        <v>43</v>
      </c>
      <c r="E49" s="3" t="s">
        <v>279</v>
      </c>
      <c r="F49" s="4" t="s">
        <v>59</v>
      </c>
      <c r="G49" s="5">
        <v>0.25</v>
      </c>
      <c r="H49" s="7">
        <v>10</v>
      </c>
      <c r="I49" s="7" t="s">
        <v>57</v>
      </c>
      <c r="J49" s="4" t="s">
        <v>60</v>
      </c>
      <c r="K49" s="4" t="s">
        <v>219</v>
      </c>
      <c r="L49" s="4" t="s">
        <v>183</v>
      </c>
      <c r="M49" s="4" t="s">
        <v>167</v>
      </c>
      <c r="N49" s="4" t="s">
        <v>247</v>
      </c>
      <c r="O49" s="4">
        <v>8895</v>
      </c>
      <c r="P49" s="86">
        <v>5.8495145631067995</v>
      </c>
      <c r="Q49" s="48">
        <v>31570.093099999998</v>
      </c>
      <c r="R49" s="48">
        <v>20423.339400000001</v>
      </c>
      <c r="S49" s="48"/>
      <c r="T49" s="48">
        <v>51993.432499999995</v>
      </c>
      <c r="U49" s="48">
        <f t="shared" si="8"/>
        <v>12998.358124999999</v>
      </c>
      <c r="V49" s="48">
        <f t="shared" si="9"/>
        <v>12998.358124999999</v>
      </c>
      <c r="W49" s="48">
        <f t="shared" si="6"/>
        <v>25996.716249999998</v>
      </c>
      <c r="X49" s="49">
        <f t="shared" si="7"/>
        <v>0</v>
      </c>
      <c r="Y49" s="50">
        <f t="shared" si="10"/>
        <v>51993.432499999995</v>
      </c>
      <c r="Z49" s="51">
        <f t="shared" si="11"/>
        <v>0</v>
      </c>
      <c r="AA49" s="51">
        <f t="shared" si="12"/>
        <v>8888.5038132780028</v>
      </c>
    </row>
    <row r="50" spans="1:29" s="24" customFormat="1" ht="15">
      <c r="A50" s="45" t="s">
        <v>46</v>
      </c>
      <c r="B50" s="46" t="s">
        <v>46</v>
      </c>
      <c r="C50" s="47" t="s">
        <v>42</v>
      </c>
      <c r="D50" s="3" t="s">
        <v>47</v>
      </c>
      <c r="E50" s="3" t="s">
        <v>53</v>
      </c>
      <c r="F50" s="4" t="s">
        <v>53</v>
      </c>
      <c r="G50" s="5">
        <v>0.25</v>
      </c>
      <c r="H50" s="7">
        <v>10</v>
      </c>
      <c r="I50" s="7" t="s">
        <v>65</v>
      </c>
      <c r="J50" s="4" t="s">
        <v>54</v>
      </c>
      <c r="K50" s="4" t="s">
        <v>218</v>
      </c>
      <c r="L50" s="4" t="s">
        <v>182</v>
      </c>
      <c r="M50" s="4" t="s">
        <v>167</v>
      </c>
      <c r="N50" s="4" t="s">
        <v>247</v>
      </c>
      <c r="O50" s="4">
        <v>8895</v>
      </c>
      <c r="P50" s="86">
        <v>5.8</v>
      </c>
      <c r="Q50" s="48">
        <v>38177.705900000001</v>
      </c>
      <c r="R50" s="48">
        <v>16599.666525319997</v>
      </c>
      <c r="S50" s="48">
        <v>1861.66</v>
      </c>
      <c r="T50" s="48">
        <v>56639.032425320001</v>
      </c>
      <c r="U50" s="48">
        <f t="shared" si="8"/>
        <v>14159.75810633</v>
      </c>
      <c r="V50" s="48">
        <f t="shared" si="9"/>
        <v>14159.75810633</v>
      </c>
      <c r="W50" s="48">
        <f t="shared" si="6"/>
        <v>28319.516212659997</v>
      </c>
      <c r="X50" s="49">
        <f t="shared" si="7"/>
        <v>0</v>
      </c>
      <c r="Y50" s="50">
        <f t="shared" si="10"/>
        <v>56639.032425319994</v>
      </c>
      <c r="Z50" s="51">
        <f t="shared" si="11"/>
        <v>0</v>
      </c>
      <c r="AA50" s="51">
        <f t="shared" si="12"/>
        <v>9765.3504181586213</v>
      </c>
    </row>
    <row r="51" spans="1:29" s="24" customFormat="1" ht="15">
      <c r="A51" s="45" t="s">
        <v>40</v>
      </c>
      <c r="B51" s="46" t="s">
        <v>66</v>
      </c>
      <c r="C51" s="47" t="s">
        <v>67</v>
      </c>
      <c r="D51" s="3" t="s">
        <v>68</v>
      </c>
      <c r="E51" s="3" t="s">
        <v>69</v>
      </c>
      <c r="F51" s="4" t="s">
        <v>69</v>
      </c>
      <c r="G51" s="5">
        <v>0.4</v>
      </c>
      <c r="H51" s="7">
        <v>10</v>
      </c>
      <c r="I51" s="7" t="s">
        <v>70</v>
      </c>
      <c r="J51" s="4" t="s">
        <v>71</v>
      </c>
      <c r="K51" s="4" t="s">
        <v>190</v>
      </c>
      <c r="L51" s="8" t="s">
        <v>190</v>
      </c>
      <c r="M51" s="8" t="s">
        <v>224</v>
      </c>
      <c r="N51" s="8" t="s">
        <v>246</v>
      </c>
      <c r="O51" s="4">
        <v>8895</v>
      </c>
      <c r="P51" s="86">
        <v>6.4587378640776691</v>
      </c>
      <c r="Q51" s="48">
        <v>35116.33</v>
      </c>
      <c r="R51" s="48">
        <v>21069.798000000003</v>
      </c>
      <c r="S51" s="48"/>
      <c r="T51" s="48">
        <v>56186.128000000004</v>
      </c>
      <c r="U51" s="48">
        <f t="shared" si="8"/>
        <v>22474.451200000003</v>
      </c>
      <c r="V51" s="48">
        <f t="shared" si="9"/>
        <v>0</v>
      </c>
      <c r="W51" s="48">
        <f t="shared" si="6"/>
        <v>0</v>
      </c>
      <c r="X51" s="49">
        <f t="shared" si="7"/>
        <v>33711.676800000001</v>
      </c>
      <c r="Y51" s="50">
        <f t="shared" si="10"/>
        <v>56186.128000000004</v>
      </c>
      <c r="Z51" s="51">
        <f t="shared" si="11"/>
        <v>0</v>
      </c>
      <c r="AA51" s="51">
        <f t="shared" si="12"/>
        <v>8699.2426666666688</v>
      </c>
      <c r="AC51" s="34"/>
    </row>
    <row r="52" spans="1:29" s="24" customFormat="1" ht="15">
      <c r="A52" s="45" t="s">
        <v>101</v>
      </c>
      <c r="B52" s="46" t="s">
        <v>101</v>
      </c>
      <c r="C52" s="47" t="s">
        <v>42</v>
      </c>
      <c r="D52" s="3" t="s">
        <v>102</v>
      </c>
      <c r="E52" s="3" t="s">
        <v>289</v>
      </c>
      <c r="F52" s="4" t="s">
        <v>268</v>
      </c>
      <c r="G52" s="5">
        <v>0.25</v>
      </c>
      <c r="H52" s="7">
        <v>29</v>
      </c>
      <c r="I52" s="7" t="s">
        <v>119</v>
      </c>
      <c r="J52" s="4" t="s">
        <v>292</v>
      </c>
      <c r="K52" s="4" t="s">
        <v>291</v>
      </c>
      <c r="L52" s="4" t="s">
        <v>291</v>
      </c>
      <c r="M52" s="4" t="s">
        <v>248</v>
      </c>
      <c r="N52" s="4" t="s">
        <v>246</v>
      </c>
      <c r="O52" s="4">
        <v>5480</v>
      </c>
      <c r="P52" s="86">
        <v>6.1548143486469495</v>
      </c>
      <c r="Q52" s="53">
        <f>20527.22*80%</f>
        <v>16421.776000000002</v>
      </c>
      <c r="R52" s="53">
        <f>4768.924*80%</f>
        <v>3815.1392000000001</v>
      </c>
      <c r="S52" s="53">
        <f>3317.4*80%</f>
        <v>2653.92</v>
      </c>
      <c r="T52" s="48">
        <f>28613.544*80%</f>
        <v>22890.835200000001</v>
      </c>
      <c r="U52" s="48">
        <f t="shared" si="8"/>
        <v>5722.7088000000003</v>
      </c>
      <c r="V52" s="48">
        <f t="shared" si="9"/>
        <v>5722.7088000000003</v>
      </c>
      <c r="W52" s="48">
        <f t="shared" si="6"/>
        <v>11445.417600000001</v>
      </c>
      <c r="X52" s="49">
        <f t="shared" si="7"/>
        <v>0</v>
      </c>
      <c r="Y52" s="50">
        <f t="shared" si="10"/>
        <v>22890.835200000001</v>
      </c>
      <c r="Z52" s="51"/>
      <c r="AA52" s="51"/>
    </row>
    <row r="53" spans="1:29" s="24" customFormat="1" ht="15">
      <c r="A53" s="45" t="s">
        <v>46</v>
      </c>
      <c r="B53" s="46" t="s">
        <v>46</v>
      </c>
      <c r="C53" s="47" t="s">
        <v>42</v>
      </c>
      <c r="D53" s="3" t="s">
        <v>47</v>
      </c>
      <c r="E53" s="3" t="s">
        <v>286</v>
      </c>
      <c r="F53" s="4" t="s">
        <v>74</v>
      </c>
      <c r="G53" s="5">
        <v>0.25</v>
      </c>
      <c r="H53" s="7">
        <v>29</v>
      </c>
      <c r="I53" s="7" t="s">
        <v>119</v>
      </c>
      <c r="J53" s="4" t="s">
        <v>75</v>
      </c>
      <c r="K53" s="4" t="s">
        <v>162</v>
      </c>
      <c r="L53" s="4" t="s">
        <v>163</v>
      </c>
      <c r="M53" s="4" t="s">
        <v>164</v>
      </c>
      <c r="N53" s="4" t="s">
        <v>246</v>
      </c>
      <c r="O53" s="4">
        <v>5480</v>
      </c>
      <c r="P53" s="86">
        <v>17.769666456891116</v>
      </c>
      <c r="Q53" s="53">
        <v>59705.020000000004</v>
      </c>
      <c r="R53" s="53">
        <v>12664.616000000002</v>
      </c>
      <c r="S53" s="53">
        <v>3618.06</v>
      </c>
      <c r="T53" s="48">
        <v>75987.696000000011</v>
      </c>
      <c r="U53" s="48">
        <f t="shared" si="8"/>
        <v>18996.924000000003</v>
      </c>
      <c r="V53" s="48">
        <f t="shared" si="9"/>
        <v>18996.924000000003</v>
      </c>
      <c r="W53" s="48">
        <f t="shared" si="6"/>
        <v>37993.848000000013</v>
      </c>
      <c r="X53" s="49">
        <f t="shared" si="7"/>
        <v>0</v>
      </c>
      <c r="Y53" s="50">
        <f t="shared" si="10"/>
        <v>75987.696000000025</v>
      </c>
      <c r="Z53" s="51">
        <f t="shared" ref="Z53:Z70" si="13">+Y53-T53</f>
        <v>0</v>
      </c>
      <c r="AA53" s="51">
        <f t="shared" ref="AA53:AA70" si="14">+T53/P53</f>
        <v>4276.2589936251625</v>
      </c>
      <c r="AB53" s="34"/>
    </row>
    <row r="54" spans="1:29" s="34" customFormat="1" ht="18">
      <c r="A54" s="45" t="s">
        <v>40</v>
      </c>
      <c r="B54" s="46" t="s">
        <v>41</v>
      </c>
      <c r="C54" s="47" t="s">
        <v>42</v>
      </c>
      <c r="D54" s="3" t="s">
        <v>43</v>
      </c>
      <c r="E54" s="3" t="s">
        <v>274</v>
      </c>
      <c r="F54" s="4" t="s">
        <v>82</v>
      </c>
      <c r="G54" s="5">
        <v>0.25</v>
      </c>
      <c r="H54" s="7">
        <v>29</v>
      </c>
      <c r="I54" s="7" t="s">
        <v>119</v>
      </c>
      <c r="J54" s="4" t="s">
        <v>84</v>
      </c>
      <c r="K54" s="4" t="s">
        <v>198</v>
      </c>
      <c r="L54" s="4" t="s">
        <v>199</v>
      </c>
      <c r="M54" s="4" t="s">
        <v>173</v>
      </c>
      <c r="N54" s="4" t="s">
        <v>247</v>
      </c>
      <c r="O54" s="4">
        <v>5480</v>
      </c>
      <c r="P54" s="86">
        <v>4.9993706733794836</v>
      </c>
      <c r="Q54" s="53">
        <v>14981.1</v>
      </c>
      <c r="R54" s="53">
        <v>3784.8520000000003</v>
      </c>
      <c r="S54" s="53">
        <v>3943.16</v>
      </c>
      <c r="T54" s="48">
        <v>22709.112000000001</v>
      </c>
      <c r="U54" s="48">
        <f t="shared" si="8"/>
        <v>5677.2780000000002</v>
      </c>
      <c r="V54" s="48">
        <f t="shared" si="9"/>
        <v>5677.2780000000002</v>
      </c>
      <c r="W54" s="48">
        <f t="shared" si="6"/>
        <v>11354.556000000002</v>
      </c>
      <c r="X54" s="49">
        <f t="shared" si="7"/>
        <v>0</v>
      </c>
      <c r="Y54" s="50">
        <f t="shared" si="10"/>
        <v>22709.112000000001</v>
      </c>
      <c r="Z54" s="51">
        <f t="shared" si="13"/>
        <v>0</v>
      </c>
      <c r="AA54" s="51">
        <f t="shared" si="14"/>
        <v>4542.3941299093658</v>
      </c>
      <c r="AB54" s="24"/>
      <c r="AC54" s="83"/>
    </row>
    <row r="55" spans="1:29" s="34" customFormat="1" ht="15">
      <c r="A55" s="45" t="s">
        <v>101</v>
      </c>
      <c r="B55" s="46" t="s">
        <v>101</v>
      </c>
      <c r="C55" s="47" t="s">
        <v>42</v>
      </c>
      <c r="D55" s="3" t="s">
        <v>102</v>
      </c>
      <c r="E55" s="3" t="s">
        <v>289</v>
      </c>
      <c r="F55" s="4" t="s">
        <v>268</v>
      </c>
      <c r="G55" s="5">
        <v>0.25</v>
      </c>
      <c r="H55" s="7">
        <v>29</v>
      </c>
      <c r="I55" s="7" t="s">
        <v>119</v>
      </c>
      <c r="J55" s="4" t="s">
        <v>145</v>
      </c>
      <c r="K55" s="4" t="s">
        <v>170</v>
      </c>
      <c r="L55" s="4" t="s">
        <v>170</v>
      </c>
      <c r="M55" s="4" t="s">
        <v>248</v>
      </c>
      <c r="N55" s="4" t="s">
        <v>246</v>
      </c>
      <c r="O55" s="4">
        <v>5480</v>
      </c>
      <c r="P55" s="86">
        <v>1.5632473253618611</v>
      </c>
      <c r="Q55" s="53">
        <f>20527.22*20%</f>
        <v>4105.4440000000004</v>
      </c>
      <c r="R55" s="53">
        <f>4768.924*20%</f>
        <v>953.78480000000002</v>
      </c>
      <c r="S55" s="53">
        <f>3317.4*20%</f>
        <v>663.48</v>
      </c>
      <c r="T55" s="48">
        <f>28613.544*20%</f>
        <v>5722.7088000000003</v>
      </c>
      <c r="U55" s="48">
        <f t="shared" si="8"/>
        <v>1430.6772000000001</v>
      </c>
      <c r="V55" s="48">
        <f t="shared" si="9"/>
        <v>1430.6772000000001</v>
      </c>
      <c r="W55" s="48">
        <f t="shared" si="6"/>
        <v>2861.3544000000002</v>
      </c>
      <c r="X55" s="49">
        <f t="shared" si="7"/>
        <v>0</v>
      </c>
      <c r="Y55" s="50">
        <f t="shared" si="10"/>
        <v>5722.7088000000003</v>
      </c>
      <c r="Z55" s="51">
        <f t="shared" si="13"/>
        <v>0</v>
      </c>
      <c r="AA55" s="51">
        <f t="shared" si="14"/>
        <v>3660.7827227053185</v>
      </c>
      <c r="AB55" s="24"/>
      <c r="AC55" s="24"/>
    </row>
    <row r="56" spans="1:29" s="24" customFormat="1" ht="15">
      <c r="A56" s="45" t="s">
        <v>40</v>
      </c>
      <c r="B56" s="46" t="s">
        <v>41</v>
      </c>
      <c r="C56" s="47" t="s">
        <v>42</v>
      </c>
      <c r="D56" s="3" t="s">
        <v>43</v>
      </c>
      <c r="E56" s="3" t="s">
        <v>279</v>
      </c>
      <c r="F56" s="4" t="s">
        <v>59</v>
      </c>
      <c r="G56" s="5">
        <v>0.25</v>
      </c>
      <c r="H56" s="7">
        <v>26</v>
      </c>
      <c r="I56" s="7" t="s">
        <v>116</v>
      </c>
      <c r="J56" s="4" t="s">
        <v>117</v>
      </c>
      <c r="K56" s="4" t="s">
        <v>171</v>
      </c>
      <c r="L56" s="4" t="s">
        <v>172</v>
      </c>
      <c r="M56" s="4" t="s">
        <v>173</v>
      </c>
      <c r="N56" s="4" t="s">
        <v>247</v>
      </c>
      <c r="O56" s="4">
        <v>10240</v>
      </c>
      <c r="P56" s="86">
        <v>8.5326491765290076</v>
      </c>
      <c r="Q56" s="48">
        <v>48080.57</v>
      </c>
      <c r="R56" s="48">
        <v>48316.160000000003</v>
      </c>
      <c r="S56" s="48">
        <v>7114.2823999999991</v>
      </c>
      <c r="T56" s="48">
        <v>103511.01239999999</v>
      </c>
      <c r="U56" s="48">
        <f t="shared" si="8"/>
        <v>25877.753099999998</v>
      </c>
      <c r="V56" s="48">
        <f t="shared" si="9"/>
        <v>25877.753099999998</v>
      </c>
      <c r="W56" s="48">
        <f t="shared" si="6"/>
        <v>51755.506199999989</v>
      </c>
      <c r="X56" s="49">
        <f t="shared" si="7"/>
        <v>0</v>
      </c>
      <c r="Y56" s="50">
        <f t="shared" si="10"/>
        <v>103511.01239999998</v>
      </c>
      <c r="Z56" s="51">
        <f t="shared" si="13"/>
        <v>0</v>
      </c>
      <c r="AA56" s="51">
        <f t="shared" si="14"/>
        <v>12131.169377586808</v>
      </c>
    </row>
    <row r="57" spans="1:29" s="24" customFormat="1" ht="15">
      <c r="A57" s="45" t="s">
        <v>40</v>
      </c>
      <c r="B57" s="46" t="s">
        <v>41</v>
      </c>
      <c r="C57" s="47" t="s">
        <v>42</v>
      </c>
      <c r="D57" s="3" t="s">
        <v>43</v>
      </c>
      <c r="E57" s="3" t="s">
        <v>274</v>
      </c>
      <c r="F57" s="4" t="s">
        <v>82</v>
      </c>
      <c r="G57" s="5">
        <v>0.25</v>
      </c>
      <c r="H57" s="7">
        <v>17</v>
      </c>
      <c r="I57" s="7" t="s">
        <v>105</v>
      </c>
      <c r="J57" s="4" t="s">
        <v>127</v>
      </c>
      <c r="K57" s="4" t="s">
        <v>184</v>
      </c>
      <c r="L57" s="4" t="s">
        <v>185</v>
      </c>
      <c r="M57" s="4" t="s">
        <v>173</v>
      </c>
      <c r="N57" s="4" t="s">
        <v>247</v>
      </c>
      <c r="O57" s="4">
        <v>4960</v>
      </c>
      <c r="P57" s="86">
        <v>4.9769585253456201</v>
      </c>
      <c r="Q57" s="53">
        <v>12076.2</v>
      </c>
      <c r="R57" s="53">
        <v>7812.670118764845</v>
      </c>
      <c r="S57" s="53">
        <v>944.91686460807591</v>
      </c>
      <c r="T57" s="48">
        <v>20833.78698337292</v>
      </c>
      <c r="U57" s="48">
        <f t="shared" si="8"/>
        <v>5208.44674584323</v>
      </c>
      <c r="V57" s="48">
        <f t="shared" si="9"/>
        <v>5208.44674584323</v>
      </c>
      <c r="W57" s="48">
        <f t="shared" si="6"/>
        <v>10416.89349168646</v>
      </c>
      <c r="X57" s="49">
        <f t="shared" si="7"/>
        <v>0</v>
      </c>
      <c r="Y57" s="50">
        <f t="shared" si="10"/>
        <v>20833.78698337292</v>
      </c>
      <c r="Z57" s="51">
        <f t="shared" si="13"/>
        <v>0</v>
      </c>
      <c r="AA57" s="51">
        <f t="shared" si="14"/>
        <v>4186.0479401777084</v>
      </c>
    </row>
    <row r="58" spans="1:29" s="24" customFormat="1" ht="15">
      <c r="A58" s="45" t="s">
        <v>40</v>
      </c>
      <c r="B58" s="46" t="s">
        <v>55</v>
      </c>
      <c r="C58" s="47" t="s">
        <v>42</v>
      </c>
      <c r="D58" s="3" t="s">
        <v>43</v>
      </c>
      <c r="E58" s="3" t="s">
        <v>277</v>
      </c>
      <c r="F58" s="4" t="s">
        <v>85</v>
      </c>
      <c r="G58" s="5">
        <v>0.25</v>
      </c>
      <c r="H58" s="7">
        <v>17</v>
      </c>
      <c r="I58" s="7" t="s">
        <v>105</v>
      </c>
      <c r="J58" s="4" t="s">
        <v>97</v>
      </c>
      <c r="K58" s="4" t="s">
        <v>201</v>
      </c>
      <c r="L58" s="4" t="s">
        <v>202</v>
      </c>
      <c r="M58" s="4" t="s">
        <v>191</v>
      </c>
      <c r="N58" s="4" t="s">
        <v>247</v>
      </c>
      <c r="O58" s="4">
        <v>4960</v>
      </c>
      <c r="P58" s="86">
        <v>2.7442396313364079</v>
      </c>
      <c r="Q58" s="48">
        <v>7084.9500000000007</v>
      </c>
      <c r="R58" s="48">
        <v>7430.5481381196514</v>
      </c>
      <c r="S58" s="48">
        <v>5299.2968968660853</v>
      </c>
      <c r="T58" s="48">
        <v>19814.795034985738</v>
      </c>
      <c r="U58" s="48">
        <f t="shared" si="8"/>
        <v>4953.6987587464346</v>
      </c>
      <c r="V58" s="48">
        <f t="shared" si="9"/>
        <v>4953.6987587464346</v>
      </c>
      <c r="W58" s="48">
        <f t="shared" si="6"/>
        <v>9907.3975174928673</v>
      </c>
      <c r="X58" s="49">
        <f t="shared" si="7"/>
        <v>0</v>
      </c>
      <c r="Y58" s="50">
        <f t="shared" si="10"/>
        <v>19814.795034985735</v>
      </c>
      <c r="Z58" s="51">
        <f t="shared" si="13"/>
        <v>0</v>
      </c>
      <c r="AA58" s="51">
        <f t="shared" si="14"/>
        <v>7220.5046559057955</v>
      </c>
    </row>
    <row r="59" spans="1:29" s="34" customFormat="1" ht="15">
      <c r="A59" s="45" t="s">
        <v>40</v>
      </c>
      <c r="B59" s="46" t="s">
        <v>61</v>
      </c>
      <c r="C59" s="47" t="s">
        <v>42</v>
      </c>
      <c r="D59" s="3" t="s">
        <v>62</v>
      </c>
      <c r="E59" s="3" t="s">
        <v>63</v>
      </c>
      <c r="F59" s="4" t="s">
        <v>63</v>
      </c>
      <c r="G59" s="5">
        <v>0.25</v>
      </c>
      <c r="H59" s="7">
        <v>17</v>
      </c>
      <c r="I59" s="7" t="s">
        <v>105</v>
      </c>
      <c r="J59" s="4" t="s">
        <v>106</v>
      </c>
      <c r="K59" s="4" t="s">
        <v>193</v>
      </c>
      <c r="L59" s="4" t="s">
        <v>193</v>
      </c>
      <c r="M59" s="4" t="s">
        <v>191</v>
      </c>
      <c r="N59" s="4" t="s">
        <v>247</v>
      </c>
      <c r="O59" s="4">
        <v>4960</v>
      </c>
      <c r="P59" s="86">
        <v>3.4700460829493145</v>
      </c>
      <c r="Q59" s="48">
        <v>9468.7800000000007</v>
      </c>
      <c r="R59" s="48">
        <v>6560.786343433032</v>
      </c>
      <c r="S59" s="48">
        <v>1465.8639057217188</v>
      </c>
      <c r="T59" s="48">
        <v>17495.43024915475</v>
      </c>
      <c r="U59" s="48">
        <f t="shared" si="8"/>
        <v>4373.8575622886874</v>
      </c>
      <c r="V59" s="48">
        <f t="shared" si="9"/>
        <v>4373.8575622886874</v>
      </c>
      <c r="W59" s="48">
        <f t="shared" si="6"/>
        <v>8747.7151245773748</v>
      </c>
      <c r="X59" s="49">
        <f t="shared" si="7"/>
        <v>0</v>
      </c>
      <c r="Y59" s="50">
        <f t="shared" si="10"/>
        <v>17495.43024915475</v>
      </c>
      <c r="Z59" s="51">
        <f t="shared" si="13"/>
        <v>0</v>
      </c>
      <c r="AA59" s="51">
        <f t="shared" si="14"/>
        <v>5041.8437769808424</v>
      </c>
      <c r="AB59" s="24"/>
      <c r="AC59" s="24"/>
    </row>
    <row r="60" spans="1:29" s="24" customFormat="1" ht="15">
      <c r="A60" s="45" t="s">
        <v>40</v>
      </c>
      <c r="B60" s="46" t="s">
        <v>66</v>
      </c>
      <c r="C60" s="47" t="s">
        <v>67</v>
      </c>
      <c r="D60" s="3" t="s">
        <v>68</v>
      </c>
      <c r="E60" s="3" t="s">
        <v>76</v>
      </c>
      <c r="F60" s="4" t="s">
        <v>76</v>
      </c>
      <c r="G60" s="5">
        <v>0.4</v>
      </c>
      <c r="H60" s="7">
        <v>17</v>
      </c>
      <c r="I60" s="7" t="s">
        <v>105</v>
      </c>
      <c r="J60" s="4" t="s">
        <v>107</v>
      </c>
      <c r="K60" s="4" t="s">
        <v>193</v>
      </c>
      <c r="L60" s="4" t="s">
        <v>193</v>
      </c>
      <c r="M60" s="8" t="s">
        <v>224</v>
      </c>
      <c r="N60" s="8" t="s">
        <v>246</v>
      </c>
      <c r="O60" s="4">
        <v>4960</v>
      </c>
      <c r="P60" s="86"/>
      <c r="Q60" s="48"/>
      <c r="R60" s="48"/>
      <c r="S60" s="48"/>
      <c r="T60" s="48"/>
      <c r="U60" s="48">
        <f t="shared" si="8"/>
        <v>0</v>
      </c>
      <c r="V60" s="48">
        <f t="shared" si="9"/>
        <v>0</v>
      </c>
      <c r="W60" s="48">
        <f>IF(G60=25%,T60-U60-V60,0)+IF(G60=40%,T60-U60-V60,0)</f>
        <v>0</v>
      </c>
      <c r="X60" s="49">
        <v>0</v>
      </c>
      <c r="Y60" s="50">
        <f t="shared" si="10"/>
        <v>0</v>
      </c>
      <c r="Z60" s="51">
        <f t="shared" si="13"/>
        <v>0</v>
      </c>
      <c r="AA60" s="51" t="e">
        <f t="shared" si="14"/>
        <v>#DIV/0!</v>
      </c>
    </row>
    <row r="61" spans="1:29" s="24" customFormat="1" ht="15" customHeight="1">
      <c r="A61" s="58" t="s">
        <v>40</v>
      </c>
      <c r="B61" s="46" t="s">
        <v>66</v>
      </c>
      <c r="C61" s="47" t="s">
        <v>67</v>
      </c>
      <c r="D61" s="3" t="s">
        <v>68</v>
      </c>
      <c r="E61" s="3" t="s">
        <v>69</v>
      </c>
      <c r="F61" s="4" t="s">
        <v>69</v>
      </c>
      <c r="G61" s="5">
        <v>0.4</v>
      </c>
      <c r="H61" s="7">
        <v>34</v>
      </c>
      <c r="I61" s="7" t="s">
        <v>120</v>
      </c>
      <c r="J61" s="4" t="s">
        <v>71</v>
      </c>
      <c r="K61" s="4" t="s">
        <v>190</v>
      </c>
      <c r="L61" s="8" t="s">
        <v>190</v>
      </c>
      <c r="M61" s="8" t="s">
        <v>224</v>
      </c>
      <c r="N61" s="8" t="s">
        <v>246</v>
      </c>
      <c r="O61" s="4">
        <v>10270</v>
      </c>
      <c r="P61" s="86">
        <v>6.161785040854812</v>
      </c>
      <c r="Q61" s="48">
        <v>17297.86</v>
      </c>
      <c r="R61" s="48">
        <v>18162.753000000001</v>
      </c>
      <c r="S61" s="48"/>
      <c r="T61" s="48">
        <v>35460.612999999998</v>
      </c>
      <c r="U61" s="48">
        <f t="shared" si="8"/>
        <v>14184.245199999999</v>
      </c>
      <c r="V61" s="48">
        <f t="shared" si="9"/>
        <v>0</v>
      </c>
      <c r="W61" s="48">
        <f>IF(G61=25%,T61-U61-V61,0)</f>
        <v>0</v>
      </c>
      <c r="X61" s="49">
        <f>IF(G61=25%,0,(T61-U61-V61))</f>
        <v>21276.3678</v>
      </c>
      <c r="Y61" s="50">
        <f t="shared" si="10"/>
        <v>35460.612999999998</v>
      </c>
      <c r="Z61" s="51">
        <f t="shared" si="13"/>
        <v>0</v>
      </c>
      <c r="AA61" s="51">
        <f t="shared" si="14"/>
        <v>5754.9253608951958</v>
      </c>
      <c r="AB61" s="83"/>
    </row>
    <row r="62" spans="1:29" s="24" customFormat="1" ht="15">
      <c r="A62" s="58" t="s">
        <v>40</v>
      </c>
      <c r="B62" s="46" t="s">
        <v>66</v>
      </c>
      <c r="C62" s="47" t="s">
        <v>67</v>
      </c>
      <c r="D62" s="3" t="s">
        <v>68</v>
      </c>
      <c r="E62" s="3" t="s">
        <v>76</v>
      </c>
      <c r="F62" s="4" t="s">
        <v>76</v>
      </c>
      <c r="G62" s="5">
        <v>0.4</v>
      </c>
      <c r="H62" s="7">
        <v>34</v>
      </c>
      <c r="I62" s="7" t="s">
        <v>120</v>
      </c>
      <c r="J62" s="4" t="s">
        <v>124</v>
      </c>
      <c r="K62" s="4" t="s">
        <v>238</v>
      </c>
      <c r="L62" s="4" t="s">
        <v>238</v>
      </c>
      <c r="M62" s="8" t="s">
        <v>224</v>
      </c>
      <c r="N62" s="8" t="s">
        <v>246</v>
      </c>
      <c r="O62" s="4">
        <v>10270</v>
      </c>
      <c r="P62" s="86">
        <v>0.97817724701445552</v>
      </c>
      <c r="Q62" s="48">
        <v>30573.989999999998</v>
      </c>
      <c r="R62" s="52">
        <v>32102.6895</v>
      </c>
      <c r="S62" s="48"/>
      <c r="T62" s="48">
        <v>62676.679499999998</v>
      </c>
      <c r="U62" s="48">
        <f t="shared" si="8"/>
        <v>25070.6718</v>
      </c>
      <c r="V62" s="48">
        <f t="shared" si="9"/>
        <v>0</v>
      </c>
      <c r="W62" s="48">
        <f>IF(G62=25%,T62-U62-V62,0)+IF(G62=40%,T62-U62-V62,0)</f>
        <v>37606.007700000002</v>
      </c>
      <c r="X62" s="49">
        <v>0</v>
      </c>
      <c r="Y62" s="50">
        <f t="shared" si="10"/>
        <v>62676.679499999998</v>
      </c>
      <c r="Z62" s="51">
        <f t="shared" si="13"/>
        <v>0</v>
      </c>
      <c r="AA62" s="51">
        <f t="shared" si="14"/>
        <v>64074.971781748834</v>
      </c>
    </row>
    <row r="63" spans="1:29" s="24" customFormat="1" ht="15">
      <c r="A63" s="58" t="s">
        <v>40</v>
      </c>
      <c r="B63" s="46" t="s">
        <v>55</v>
      </c>
      <c r="C63" s="47" t="s">
        <v>42</v>
      </c>
      <c r="D63" s="3" t="s">
        <v>43</v>
      </c>
      <c r="E63" s="3" t="s">
        <v>278</v>
      </c>
      <c r="F63" s="4" t="s">
        <v>78</v>
      </c>
      <c r="G63" s="5">
        <v>0.25</v>
      </c>
      <c r="H63" s="7">
        <v>34</v>
      </c>
      <c r="I63" s="7" t="s">
        <v>120</v>
      </c>
      <c r="J63" s="4" t="s">
        <v>79</v>
      </c>
      <c r="K63" s="4" t="s">
        <v>242</v>
      </c>
      <c r="L63" s="4" t="s">
        <v>238</v>
      </c>
      <c r="M63" s="4" t="s">
        <v>191</v>
      </c>
      <c r="N63" s="4" t="s">
        <v>247</v>
      </c>
      <c r="O63" s="4">
        <v>10270</v>
      </c>
      <c r="P63" s="86">
        <v>2.9599497171590174</v>
      </c>
      <c r="Q63" s="48">
        <v>12076.43</v>
      </c>
      <c r="R63" s="52">
        <v>12680.2515</v>
      </c>
      <c r="S63" s="48">
        <v>1573.35</v>
      </c>
      <c r="T63" s="48">
        <v>26330.031499999997</v>
      </c>
      <c r="U63" s="48">
        <f t="shared" si="8"/>
        <v>6582.5078749999993</v>
      </c>
      <c r="V63" s="48">
        <f t="shared" si="9"/>
        <v>6582.5078749999993</v>
      </c>
      <c r="W63" s="48">
        <f t="shared" ref="W63:W70" si="15">IF(G63=25%,T63-U63-V63,0)</f>
        <v>13165.015749999999</v>
      </c>
      <c r="X63" s="49">
        <f t="shared" ref="X63:X70" si="16">IF(G63=25%,0,(T63-U63-V63))</f>
        <v>0</v>
      </c>
      <c r="Y63" s="50">
        <f t="shared" si="10"/>
        <v>26330.031499999997</v>
      </c>
      <c r="Z63" s="51">
        <f t="shared" si="13"/>
        <v>0</v>
      </c>
      <c r="AA63" s="51">
        <f t="shared" si="14"/>
        <v>8895.4320228357683</v>
      </c>
      <c r="AB63" s="34"/>
    </row>
    <row r="64" spans="1:29" s="34" customFormat="1" ht="15">
      <c r="A64" s="58" t="s">
        <v>40</v>
      </c>
      <c r="B64" s="46" t="s">
        <v>61</v>
      </c>
      <c r="C64" s="47" t="s">
        <v>42</v>
      </c>
      <c r="D64" s="3" t="s">
        <v>62</v>
      </c>
      <c r="E64" s="3" t="s">
        <v>63</v>
      </c>
      <c r="F64" s="4" t="s">
        <v>63</v>
      </c>
      <c r="G64" s="5">
        <v>0.25</v>
      </c>
      <c r="H64" s="7">
        <v>34</v>
      </c>
      <c r="I64" s="7" t="s">
        <v>120</v>
      </c>
      <c r="J64" s="4" t="s">
        <v>123</v>
      </c>
      <c r="K64" s="4" t="s">
        <v>129</v>
      </c>
      <c r="L64" s="4" t="s">
        <v>129</v>
      </c>
      <c r="M64" s="8" t="s">
        <v>191</v>
      </c>
      <c r="N64" s="4" t="s">
        <v>247</v>
      </c>
      <c r="O64" s="4">
        <v>10270</v>
      </c>
      <c r="P64" s="86">
        <v>5.27</v>
      </c>
      <c r="Q64" s="48">
        <v>23459.42</v>
      </c>
      <c r="R64" s="52">
        <v>24632.49</v>
      </c>
      <c r="S64" s="48">
        <v>1855.85</v>
      </c>
      <c r="T64" s="48">
        <v>49947.85</v>
      </c>
      <c r="U64" s="48">
        <f t="shared" si="8"/>
        <v>12486.9625</v>
      </c>
      <c r="V64" s="48">
        <f t="shared" si="9"/>
        <v>12486.9625</v>
      </c>
      <c r="W64" s="48">
        <f t="shared" si="15"/>
        <v>24973.924999999996</v>
      </c>
      <c r="X64" s="49">
        <f t="shared" si="16"/>
        <v>0</v>
      </c>
      <c r="Y64" s="50">
        <f t="shared" si="10"/>
        <v>49947.849999999991</v>
      </c>
      <c r="Z64" s="51">
        <f t="shared" si="13"/>
        <v>0</v>
      </c>
      <c r="AA64" s="51">
        <f t="shared" si="14"/>
        <v>9477.7703984819746</v>
      </c>
      <c r="AC64" s="24"/>
    </row>
    <row r="65" spans="1:29" s="34" customFormat="1" ht="15">
      <c r="A65" s="58" t="s">
        <v>40</v>
      </c>
      <c r="B65" s="46" t="s">
        <v>55</v>
      </c>
      <c r="C65" s="47" t="s">
        <v>42</v>
      </c>
      <c r="D65" s="3" t="s">
        <v>43</v>
      </c>
      <c r="E65" s="3" t="s">
        <v>277</v>
      </c>
      <c r="F65" s="4" t="s">
        <v>85</v>
      </c>
      <c r="G65" s="5">
        <v>0.25</v>
      </c>
      <c r="H65" s="7">
        <v>34</v>
      </c>
      <c r="I65" s="7" t="s">
        <v>120</v>
      </c>
      <c r="J65" s="4" t="s">
        <v>122</v>
      </c>
      <c r="K65" s="4" t="s">
        <v>211</v>
      </c>
      <c r="L65" s="4" t="s">
        <v>129</v>
      </c>
      <c r="M65" s="4" t="s">
        <v>191</v>
      </c>
      <c r="N65" s="4" t="s">
        <v>247</v>
      </c>
      <c r="O65" s="4">
        <v>10270</v>
      </c>
      <c r="P65" s="86">
        <v>6.2204651162790681</v>
      </c>
      <c r="Q65" s="48">
        <v>18277.04</v>
      </c>
      <c r="R65" s="52">
        <v>19190.892</v>
      </c>
      <c r="S65" s="48">
        <v>2600.5</v>
      </c>
      <c r="T65" s="48">
        <v>40068.432000000001</v>
      </c>
      <c r="U65" s="48">
        <f t="shared" si="8"/>
        <v>10017.108</v>
      </c>
      <c r="V65" s="48">
        <f t="shared" si="9"/>
        <v>10017.108</v>
      </c>
      <c r="W65" s="48">
        <f t="shared" si="15"/>
        <v>20034.216</v>
      </c>
      <c r="X65" s="49">
        <f t="shared" si="16"/>
        <v>0</v>
      </c>
      <c r="Y65" s="50">
        <f t="shared" si="10"/>
        <v>40068.432000000001</v>
      </c>
      <c r="Z65" s="51">
        <f t="shared" si="13"/>
        <v>0</v>
      </c>
      <c r="AA65" s="51">
        <f t="shared" si="14"/>
        <v>6441.3884253028282</v>
      </c>
      <c r="AC65" s="24"/>
    </row>
    <row r="66" spans="1:29" s="34" customFormat="1" ht="15">
      <c r="A66" s="58" t="s">
        <v>40</v>
      </c>
      <c r="B66" s="46" t="s">
        <v>41</v>
      </c>
      <c r="C66" s="47" t="s">
        <v>42</v>
      </c>
      <c r="D66" s="3" t="s">
        <v>43</v>
      </c>
      <c r="E66" s="3" t="s">
        <v>273</v>
      </c>
      <c r="F66" s="4" t="s">
        <v>114</v>
      </c>
      <c r="G66" s="5">
        <v>0.25</v>
      </c>
      <c r="H66" s="7">
        <v>34</v>
      </c>
      <c r="I66" s="7" t="s">
        <v>120</v>
      </c>
      <c r="J66" s="4" t="s">
        <v>115</v>
      </c>
      <c r="K66" s="4" t="s">
        <v>203</v>
      </c>
      <c r="L66" s="4" t="s">
        <v>204</v>
      </c>
      <c r="M66" s="4" t="s">
        <v>173</v>
      </c>
      <c r="N66" s="4" t="s">
        <v>247</v>
      </c>
      <c r="O66" s="4">
        <v>10270</v>
      </c>
      <c r="P66" s="86">
        <v>11.609302325581394</v>
      </c>
      <c r="Q66" s="48">
        <v>17930.43</v>
      </c>
      <c r="R66" s="52">
        <v>18826.951500000003</v>
      </c>
      <c r="S66" s="48">
        <v>4691.1399999999994</v>
      </c>
      <c r="T66" s="48">
        <v>41448.521500000003</v>
      </c>
      <c r="U66" s="48">
        <f t="shared" ref="U66:U70" si="17">T66*G66</f>
        <v>10362.130375000001</v>
      </c>
      <c r="V66" s="48">
        <f t="shared" si="9"/>
        <v>10362.130375000001</v>
      </c>
      <c r="W66" s="48">
        <f t="shared" si="15"/>
        <v>20724.260750000001</v>
      </c>
      <c r="X66" s="49">
        <f t="shared" si="16"/>
        <v>0</v>
      </c>
      <c r="Y66" s="50">
        <f t="shared" ref="Y66:Y70" si="18">SUM(U66:X66)</f>
        <v>41448.521500000003</v>
      </c>
      <c r="Z66" s="51">
        <f t="shared" si="13"/>
        <v>0</v>
      </c>
      <c r="AA66" s="51">
        <f t="shared" si="14"/>
        <v>3570.2853054887828</v>
      </c>
      <c r="AB66" s="24"/>
      <c r="AC66" s="24"/>
    </row>
    <row r="67" spans="1:29" s="24" customFormat="1" ht="15" customHeight="1">
      <c r="A67" s="58" t="s">
        <v>28</v>
      </c>
      <c r="B67" s="46" t="s">
        <v>28</v>
      </c>
      <c r="C67" s="47" t="s">
        <v>29</v>
      </c>
      <c r="D67" s="3" t="s">
        <v>30</v>
      </c>
      <c r="E67" s="3" t="s">
        <v>270</v>
      </c>
      <c r="F67" s="4" t="s">
        <v>35</v>
      </c>
      <c r="G67" s="5">
        <v>0.25</v>
      </c>
      <c r="H67" s="7">
        <v>34</v>
      </c>
      <c r="I67" s="7" t="s">
        <v>120</v>
      </c>
      <c r="J67" s="4" t="s">
        <v>36</v>
      </c>
      <c r="K67" s="4" t="s">
        <v>174</v>
      </c>
      <c r="L67" s="4" t="s">
        <v>175</v>
      </c>
      <c r="M67" s="4" t="s">
        <v>173</v>
      </c>
      <c r="N67" s="4" t="s">
        <v>247</v>
      </c>
      <c r="O67" s="4">
        <v>10270</v>
      </c>
      <c r="P67" s="86">
        <v>4.8445003142677567</v>
      </c>
      <c r="Q67" s="48">
        <v>31739.48</v>
      </c>
      <c r="R67" s="52">
        <v>33326.453999999998</v>
      </c>
      <c r="S67" s="48">
        <v>9482.33</v>
      </c>
      <c r="T67" s="48">
        <v>74548.263999999996</v>
      </c>
      <c r="U67" s="48">
        <f t="shared" si="17"/>
        <v>18637.065999999999</v>
      </c>
      <c r="V67" s="48">
        <f t="shared" si="9"/>
        <v>18637.065999999999</v>
      </c>
      <c r="W67" s="48">
        <f t="shared" si="15"/>
        <v>37274.131999999998</v>
      </c>
      <c r="X67" s="49">
        <f t="shared" si="16"/>
        <v>0</v>
      </c>
      <c r="Y67" s="50">
        <f t="shared" si="18"/>
        <v>74548.263999999996</v>
      </c>
      <c r="Z67" s="51">
        <f t="shared" si="13"/>
        <v>0</v>
      </c>
      <c r="AA67" s="51">
        <f t="shared" si="14"/>
        <v>15388.225650526751</v>
      </c>
    </row>
    <row r="68" spans="1:29" s="24" customFormat="1" ht="15" customHeight="1">
      <c r="A68" s="58" t="s">
        <v>101</v>
      </c>
      <c r="B68" s="46" t="s">
        <v>101</v>
      </c>
      <c r="C68" s="47" t="s">
        <v>42</v>
      </c>
      <c r="D68" s="3" t="s">
        <v>102</v>
      </c>
      <c r="E68" s="3" t="s">
        <v>271</v>
      </c>
      <c r="F68" s="4" t="s">
        <v>268</v>
      </c>
      <c r="G68" s="5">
        <v>0.25</v>
      </c>
      <c r="H68" s="7">
        <v>34</v>
      </c>
      <c r="I68" s="7" t="s">
        <v>120</v>
      </c>
      <c r="J68" s="4" t="s">
        <v>121</v>
      </c>
      <c r="K68" s="4" t="s">
        <v>236</v>
      </c>
      <c r="L68" s="4" t="s">
        <v>236</v>
      </c>
      <c r="M68" s="4" t="s">
        <v>248</v>
      </c>
      <c r="N68" s="4" t="s">
        <v>246</v>
      </c>
      <c r="O68" s="4">
        <v>10270</v>
      </c>
      <c r="P68" s="86">
        <v>5.9552734129478235</v>
      </c>
      <c r="Q68" s="48">
        <v>15377.22</v>
      </c>
      <c r="R68" s="52">
        <v>16146.081000000002</v>
      </c>
      <c r="S68" s="48">
        <v>2681.67</v>
      </c>
      <c r="T68" s="48">
        <v>34204.970999999998</v>
      </c>
      <c r="U68" s="48">
        <f t="shared" si="17"/>
        <v>8551.2427499999994</v>
      </c>
      <c r="V68" s="48">
        <f t="shared" si="9"/>
        <v>8551.2427499999994</v>
      </c>
      <c r="W68" s="48">
        <f t="shared" si="15"/>
        <v>17102.485500000003</v>
      </c>
      <c r="X68" s="49">
        <f t="shared" si="16"/>
        <v>0</v>
      </c>
      <c r="Y68" s="50">
        <f t="shared" si="18"/>
        <v>34204.971000000005</v>
      </c>
      <c r="Z68" s="51">
        <f t="shared" si="13"/>
        <v>0</v>
      </c>
      <c r="AA68" s="51">
        <f t="shared" si="14"/>
        <v>5743.6440996365181</v>
      </c>
    </row>
    <row r="69" spans="1:29" s="24" customFormat="1" ht="15.75" customHeight="1">
      <c r="A69" s="58" t="s">
        <v>40</v>
      </c>
      <c r="B69" s="46" t="s">
        <v>41</v>
      </c>
      <c r="C69" s="47" t="s">
        <v>42</v>
      </c>
      <c r="D69" s="3" t="s">
        <v>43</v>
      </c>
      <c r="E69" s="3" t="s">
        <v>274</v>
      </c>
      <c r="F69" s="4" t="s">
        <v>82</v>
      </c>
      <c r="G69" s="5">
        <v>0.25</v>
      </c>
      <c r="H69" s="7">
        <v>38</v>
      </c>
      <c r="I69" s="7" t="s">
        <v>131</v>
      </c>
      <c r="J69" s="84" t="s">
        <v>127</v>
      </c>
      <c r="K69" s="84" t="s">
        <v>184</v>
      </c>
      <c r="L69" s="84" t="s">
        <v>185</v>
      </c>
      <c r="M69" s="84" t="s">
        <v>173</v>
      </c>
      <c r="N69" s="4" t="s">
        <v>247</v>
      </c>
      <c r="O69" s="4">
        <v>11440</v>
      </c>
      <c r="P69" s="86">
        <v>3.5259259259259279</v>
      </c>
      <c r="Q69" s="48">
        <v>25083</v>
      </c>
      <c r="R69" s="48">
        <v>17023.583999999999</v>
      </c>
      <c r="S69" s="48">
        <v>3289.64</v>
      </c>
      <c r="T69" s="48">
        <v>45396.224000000002</v>
      </c>
      <c r="U69" s="48">
        <f t="shared" si="17"/>
        <v>11349.056</v>
      </c>
      <c r="V69" s="48">
        <f t="shared" si="9"/>
        <v>11349.056</v>
      </c>
      <c r="W69" s="48">
        <f t="shared" si="15"/>
        <v>22698.112000000005</v>
      </c>
      <c r="X69" s="49">
        <f t="shared" si="16"/>
        <v>0</v>
      </c>
      <c r="Y69" s="50">
        <f t="shared" si="18"/>
        <v>45396.224000000002</v>
      </c>
      <c r="Z69" s="51">
        <f t="shared" si="13"/>
        <v>0</v>
      </c>
      <c r="AA69" s="51">
        <f t="shared" si="14"/>
        <v>12874.979495798312</v>
      </c>
    </row>
    <row r="70" spans="1:29" s="83" customFormat="1" ht="19" thickBot="1">
      <c r="A70" s="58" t="s">
        <v>46</v>
      </c>
      <c r="B70" s="46" t="s">
        <v>46</v>
      </c>
      <c r="C70" s="47" t="s">
        <v>42</v>
      </c>
      <c r="D70" s="3" t="s">
        <v>47</v>
      </c>
      <c r="E70" s="3" t="s">
        <v>53</v>
      </c>
      <c r="F70" s="4" t="s">
        <v>53</v>
      </c>
      <c r="G70" s="5">
        <v>0.25</v>
      </c>
      <c r="H70" s="7">
        <v>38</v>
      </c>
      <c r="I70" s="7" t="s">
        <v>132</v>
      </c>
      <c r="J70" s="4" t="s">
        <v>54</v>
      </c>
      <c r="K70" s="4" t="s">
        <v>218</v>
      </c>
      <c r="L70" s="4" t="s">
        <v>182</v>
      </c>
      <c r="M70" s="4" t="s">
        <v>167</v>
      </c>
      <c r="N70" s="4" t="s">
        <v>247</v>
      </c>
      <c r="O70" s="4">
        <v>11440</v>
      </c>
      <c r="P70" s="91">
        <v>5.4518518518518491</v>
      </c>
      <c r="Q70" s="59">
        <v>32745.86</v>
      </c>
      <c r="R70" s="59">
        <v>19647.516</v>
      </c>
      <c r="S70" s="59"/>
      <c r="T70" s="59">
        <v>52393.376000000004</v>
      </c>
      <c r="U70" s="48">
        <f t="shared" si="17"/>
        <v>13098.344000000001</v>
      </c>
      <c r="V70" s="48">
        <f t="shared" si="9"/>
        <v>13098.344000000001</v>
      </c>
      <c r="W70" s="48">
        <f t="shared" si="15"/>
        <v>26196.688000000006</v>
      </c>
      <c r="X70" s="49">
        <f t="shared" si="16"/>
        <v>0</v>
      </c>
      <c r="Y70" s="50">
        <f t="shared" si="18"/>
        <v>52393.376000000004</v>
      </c>
      <c r="Z70" s="51">
        <f t="shared" si="13"/>
        <v>0</v>
      </c>
      <c r="AA70" s="51">
        <f t="shared" si="14"/>
        <v>9610.1980434782672</v>
      </c>
      <c r="AB70" s="24"/>
      <c r="AC70" s="24"/>
    </row>
    <row r="71" spans="1:29" ht="19" thickBot="1">
      <c r="A71" s="12"/>
      <c r="P71" s="39">
        <f t="shared" ref="P71:Y71" si="19">SUM(P2:P70)</f>
        <v>574.32171864469888</v>
      </c>
      <c r="Q71" s="37">
        <f t="shared" si="19"/>
        <v>3072813.5880943839</v>
      </c>
      <c r="R71" s="37">
        <f t="shared" si="19"/>
        <v>1387001.3500773294</v>
      </c>
      <c r="S71" s="37">
        <f t="shared" si="19"/>
        <v>250511.15342720808</v>
      </c>
      <c r="T71" s="37">
        <f t="shared" si="19"/>
        <v>4710326.1815989194</v>
      </c>
      <c r="U71" s="37">
        <f t="shared" si="19"/>
        <v>2193774.4076733822</v>
      </c>
      <c r="V71" s="37">
        <f t="shared" si="19"/>
        <v>649135.30042918539</v>
      </c>
      <c r="W71" s="37">
        <f t="shared" si="19"/>
        <v>1388727.3681876783</v>
      </c>
      <c r="X71" s="38">
        <f t="shared" si="19"/>
        <v>480700.38210867537</v>
      </c>
      <c r="Y71" s="38">
        <f t="shared" si="19"/>
        <v>4712337.4583989196</v>
      </c>
    </row>
    <row r="72" spans="1:29">
      <c r="A72" s="12"/>
    </row>
    <row r="73" spans="1:29" ht="15">
      <c r="A73" s="19"/>
      <c r="B73" s="20"/>
      <c r="C73" s="21"/>
      <c r="D73" s="20"/>
      <c r="E73" s="20"/>
      <c r="F73" s="20"/>
      <c r="G73" s="20"/>
      <c r="H73" s="20"/>
      <c r="I73" s="20"/>
      <c r="J73" s="20"/>
      <c r="K73" s="20"/>
      <c r="L73" s="20"/>
      <c r="M73" s="20"/>
      <c r="N73" s="20"/>
      <c r="O73" s="22"/>
      <c r="P73" s="23" t="s">
        <v>281</v>
      </c>
      <c r="Q73" s="23" t="s">
        <v>282</v>
      </c>
      <c r="R73" s="23" t="s">
        <v>283</v>
      </c>
      <c r="S73" s="23" t="s">
        <v>229</v>
      </c>
      <c r="T73" s="40" t="s">
        <v>230</v>
      </c>
      <c r="U73" s="24"/>
      <c r="V73" s="24"/>
      <c r="W73" s="33"/>
      <c r="Y73" s="9"/>
    </row>
    <row r="74" spans="1:29" s="9" customFormat="1">
      <c r="A74" s="93" t="s">
        <v>284</v>
      </c>
      <c r="B74" s="25"/>
      <c r="C74"/>
      <c r="D74" s="25"/>
      <c r="E74" s="25"/>
      <c r="F74" s="25"/>
      <c r="G74" s="25"/>
      <c r="H74" s="25"/>
      <c r="I74" s="25"/>
      <c r="J74" s="25"/>
      <c r="K74" s="25"/>
      <c r="L74" s="25"/>
      <c r="M74" s="25"/>
      <c r="N74" s="25"/>
      <c r="O74" s="26" t="s">
        <v>226</v>
      </c>
      <c r="P74" s="29">
        <f>SUMIF(M2:M70, "GOV", P2:P70)</f>
        <v>75.116666666666674</v>
      </c>
      <c r="Q74" s="27">
        <f>SUMIF(M2:M70, "GOV", T2:T70)</f>
        <v>585712.13805619441</v>
      </c>
      <c r="R74" s="27">
        <f>SUMIF(M2:M70, "GOV", U2:U70)</f>
        <v>438760.60843347048</v>
      </c>
      <c r="S74" s="27">
        <f>SUMIF(M2:M70, "GOV", V2:V70)+SUMIF(M2:M70, "GOV", X2:X70)</f>
        <v>99588.001622723968</v>
      </c>
      <c r="T74" s="41">
        <f>+SUMIF(M2:M70, "GOV", W2:W70)</f>
        <v>47363.528000000006</v>
      </c>
      <c r="U74" s="33"/>
      <c r="V74" s="33"/>
      <c r="W74" s="33"/>
    </row>
    <row r="75" spans="1:29">
      <c r="A75" s="92" t="s">
        <v>290</v>
      </c>
      <c r="B75" s="20"/>
      <c r="C75"/>
      <c r="D75" s="20"/>
      <c r="E75" s="20"/>
      <c r="F75" s="20"/>
      <c r="G75" s="20"/>
      <c r="H75" s="20"/>
      <c r="I75" s="20"/>
      <c r="J75" s="20"/>
      <c r="K75" s="20"/>
      <c r="L75" s="20"/>
      <c r="M75" s="20"/>
      <c r="N75" s="20"/>
      <c r="O75" s="22" t="s">
        <v>133</v>
      </c>
      <c r="P75" s="29">
        <f>SUMIF(M2:M70, "TECHMGT", P2:P70)</f>
        <v>85.530000000000015</v>
      </c>
      <c r="Q75" s="27">
        <f>SUMIF(M2:M70, "TECHMGT", T2:T70)</f>
        <v>748570.64681489079</v>
      </c>
      <c r="R75" s="27">
        <f>SUMIF(M2:M70, "TECHMGT", U2:U70)</f>
        <v>561427.98511116812</v>
      </c>
      <c r="S75" s="27">
        <f>SUMIF(M2:M70, "TECHMGT", V2:V70)+SUMIF(M2:M70, "TECHMGT", X2:X70)</f>
        <v>187142.6617037227</v>
      </c>
      <c r="T75" s="41">
        <f>+SUMIF(M2:M70, "TECHMGT", W2:W70)</f>
        <v>0</v>
      </c>
      <c r="U75" s="33"/>
      <c r="V75" s="24"/>
      <c r="Y75" s="9"/>
    </row>
    <row r="76" spans="1:29">
      <c r="A76" s="28"/>
      <c r="B76" s="20"/>
      <c r="C76"/>
      <c r="D76" s="20"/>
      <c r="E76" s="20"/>
      <c r="F76" s="20"/>
      <c r="G76" s="20"/>
      <c r="H76" s="20"/>
      <c r="I76" s="20"/>
      <c r="J76" s="20"/>
      <c r="K76" s="20"/>
      <c r="L76" s="20"/>
      <c r="M76" s="20"/>
      <c r="N76" s="20"/>
      <c r="O76" s="22" t="s">
        <v>134</v>
      </c>
      <c r="P76" s="29">
        <f>SUMIF(M2:M70, "COMENG", P2:P70)</f>
        <v>90.02</v>
      </c>
      <c r="Q76" s="27">
        <f>SUMIF(M2:M70, "COMENG", T2:T70)</f>
        <v>624115.93512891443</v>
      </c>
      <c r="R76" s="27">
        <f>SUMIF(M2:M70, "COMENG", U2:U70)</f>
        <v>468086.95134668576</v>
      </c>
      <c r="S76" s="27">
        <f>SUMIF(M2:M70, "COMENG", V2:V70)+SUMIF(M2:M70, "COMENG", X2:X70)</f>
        <v>156028.98378222861</v>
      </c>
      <c r="T76" s="41">
        <f>+SUMIF(M2:M70, "COMENG", W2:W70)</f>
        <v>0</v>
      </c>
      <c r="U76" s="33"/>
      <c r="V76" s="24"/>
      <c r="Y76" s="9"/>
    </row>
    <row r="77" spans="1:29">
      <c r="A77" s="28"/>
      <c r="B77" s="20"/>
      <c r="C77"/>
      <c r="D77" s="20"/>
      <c r="E77" s="20"/>
      <c r="F77" s="20"/>
      <c r="G77" s="20"/>
      <c r="H77" s="20"/>
      <c r="I77" s="20"/>
      <c r="J77" s="20"/>
      <c r="K77" s="20"/>
      <c r="L77" s="20"/>
      <c r="M77" s="20"/>
      <c r="N77" s="20"/>
      <c r="O77" s="22" t="s">
        <v>135</v>
      </c>
      <c r="P77" s="29">
        <f>SUMIF(M2:M70, "CTS", P2:P70)+SUMIF(M2:M70, "CTDEV", P2:P70)</f>
        <v>80.943691419798142</v>
      </c>
      <c r="Q77" s="27">
        <f>SUMIF(M2:M70, "CTS", T2:T70)</f>
        <v>201946.28399999999</v>
      </c>
      <c r="R77" s="27">
        <f>SUMIF(M2:M70, "CTS", U2:U70)</f>
        <v>50486.570999999996</v>
      </c>
      <c r="S77" s="27">
        <f>SUMIF(M2:M70, "CTS", V2:V70)+SUMIF(M2:M70, "CTS", X2:X70)</f>
        <v>50486.570999999996</v>
      </c>
      <c r="T77" s="41">
        <f>+SUMIF(M2:M70, "CTS", W2:W70)</f>
        <v>100973.14200000001</v>
      </c>
      <c r="U77" s="33"/>
      <c r="V77" s="24"/>
      <c r="Y77" s="9"/>
    </row>
    <row r="78" spans="1:29">
      <c r="A78" s="28"/>
      <c r="B78" s="20"/>
      <c r="C78"/>
      <c r="D78" s="20"/>
      <c r="E78" s="20"/>
      <c r="F78" s="20"/>
      <c r="G78" s="20"/>
      <c r="H78" s="20"/>
      <c r="I78" s="20"/>
      <c r="J78" s="20"/>
      <c r="K78" s="20"/>
      <c r="L78" s="20"/>
      <c r="M78" s="20"/>
      <c r="N78" s="20"/>
      <c r="O78" s="22" t="s">
        <v>136</v>
      </c>
      <c r="P78" s="29">
        <f>SUMIF(M2:M70, "IST", P2:P70)</f>
        <v>99.605356711685943</v>
      </c>
      <c r="Q78" s="27">
        <f>SUMIF(M2:M70, "IST", T2:T70)</f>
        <v>1076100.049627756</v>
      </c>
      <c r="R78" s="27">
        <f>SUMIF(M2:M70, "IST", U2:U70)</f>
        <v>269025.012406939</v>
      </c>
      <c r="S78" s="27">
        <f>SUMIF(M2:M70, "IST", V2:V70)+SUMIF(M2:M70, "IST", X2:X70)</f>
        <v>269025.012406939</v>
      </c>
      <c r="T78" s="41">
        <f>+SUMIF(M2:M70, "IST", W2:W70)</f>
        <v>538050.024813878</v>
      </c>
      <c r="U78" s="33"/>
      <c r="V78" s="24"/>
      <c r="Y78" s="9"/>
    </row>
    <row r="79" spans="1:29" ht="14" customHeight="1">
      <c r="A79" s="28"/>
      <c r="B79" s="20"/>
      <c r="C79"/>
      <c r="D79" s="20"/>
      <c r="E79" s="21"/>
      <c r="F79" s="20"/>
      <c r="G79" s="20"/>
      <c r="H79" s="20"/>
      <c r="I79" s="20"/>
      <c r="J79" s="20"/>
      <c r="K79" s="20"/>
      <c r="L79" s="20"/>
      <c r="M79" s="20"/>
      <c r="N79" s="20"/>
      <c r="O79" s="22" t="s">
        <v>137</v>
      </c>
      <c r="P79" s="29">
        <f>SUMIF(M2:M70, "SUPP", P2:P70)</f>
        <v>51.641048954641192</v>
      </c>
      <c r="Q79" s="27">
        <f>SUMIF(M2:M70, "SUPP", T2:T70)</f>
        <v>390221.07292531995</v>
      </c>
      <c r="R79" s="27">
        <f>SUMIF(M2:M70, "SUPP", U2:U70)</f>
        <v>97555.268231329988</v>
      </c>
      <c r="S79" s="27">
        <f>SUMIF(M2:M70, "SUPP", V2:V70)+SUMIF(M2:M70, "SUPP", X2:X70)</f>
        <v>97555.268231329988</v>
      </c>
      <c r="T79" s="41">
        <f>+SUMIF(M2:M70, "SUPP", W2:W70)</f>
        <v>195110.53646266001</v>
      </c>
      <c r="U79" s="33"/>
      <c r="V79" s="24"/>
      <c r="Y79" s="9"/>
    </row>
    <row r="80" spans="1:29">
      <c r="A80" s="19"/>
      <c r="B80" s="20"/>
      <c r="C80"/>
      <c r="D80" s="20"/>
      <c r="E80" s="20"/>
      <c r="F80" s="20"/>
      <c r="G80" s="20"/>
      <c r="H80" s="20"/>
      <c r="I80" s="20"/>
      <c r="J80" s="20"/>
      <c r="K80" s="20"/>
      <c r="L80" s="20"/>
      <c r="M80" s="20"/>
      <c r="N80" s="20"/>
      <c r="O80" s="22" t="s">
        <v>138</v>
      </c>
      <c r="P80" s="29">
        <f>SUMIF(M2:M70, "OMC", P2:P70)</f>
        <v>62.124394197659946</v>
      </c>
      <c r="Q80" s="27">
        <f>SUMIF(M2:M70, "OMC", T2:T70)</f>
        <v>548662.18529217062</v>
      </c>
      <c r="R80" s="27">
        <f>SUMIF(M2:M70, "OMC", U2:U70)</f>
        <v>137165.54632304265</v>
      </c>
      <c r="S80" s="27">
        <f>SUMIF(M2:M70, "OMC", V2:V70)+SUMIF(M2:M70, "OMC", X2:X70)</f>
        <v>137165.54632304265</v>
      </c>
      <c r="T80" s="41">
        <f>+SUMIF(M2:M70, "OMC", W2:W70)</f>
        <v>274331.09264608525</v>
      </c>
      <c r="U80" s="33"/>
      <c r="V80" s="24"/>
      <c r="Y80" s="9"/>
    </row>
    <row r="81" spans="1:29">
      <c r="A81" s="19"/>
      <c r="B81" s="20"/>
      <c r="C81"/>
      <c r="D81" s="20"/>
      <c r="E81" s="20"/>
      <c r="F81" s="20"/>
      <c r="G81" s="20"/>
      <c r="H81" s="20"/>
      <c r="I81" s="20"/>
      <c r="J81" s="20"/>
      <c r="K81" s="20"/>
      <c r="L81" s="20"/>
      <c r="M81" s="20"/>
      <c r="N81" s="20"/>
      <c r="O81" s="22" t="s">
        <v>223</v>
      </c>
      <c r="P81" s="29">
        <f>SUMIF(M2:M70, "OPDEV", P2:P70)</f>
        <v>29.340560694246921</v>
      </c>
      <c r="Q81" s="27">
        <f>SUMIF(M2:M70, "OPDEV", T2:T70)</f>
        <v>261968.83588217877</v>
      </c>
      <c r="R81" s="27">
        <f>SUMIF(M2:M70, "OPDEV", U2:U70)</f>
        <v>103009.20635287152</v>
      </c>
      <c r="S81" s="27">
        <f>SUMIF(M2:M70, "OPDEV", V2:V70)+SUMIF(M2:M70, "OPDEV", X2:X70)</f>
        <v>64586.379000000001</v>
      </c>
      <c r="T81" s="41">
        <f>+SUMIF(M2:M70, "OPDEV", W2:W70)</f>
        <v>96384.527329307282</v>
      </c>
      <c r="U81" s="33"/>
      <c r="V81" s="24"/>
      <c r="Y81" s="9"/>
    </row>
    <row r="82" spans="1:29" ht="15">
      <c r="A82" s="28"/>
      <c r="B82" s="20"/>
      <c r="C82"/>
      <c r="D82" s="20"/>
      <c r="E82" s="20"/>
      <c r="F82" s="20"/>
      <c r="G82" s="20"/>
      <c r="H82" s="20"/>
      <c r="I82" s="20"/>
      <c r="J82" s="20"/>
      <c r="K82" s="20"/>
      <c r="L82" s="20"/>
      <c r="M82" s="20"/>
      <c r="N82" s="20"/>
      <c r="O82" s="22"/>
      <c r="P82" s="30">
        <f>SUM(P74:P81)</f>
        <v>574.32171864469888</v>
      </c>
      <c r="Q82" s="27">
        <f>SUM(Q74:Q81)</f>
        <v>4437297.1477274243</v>
      </c>
      <c r="R82" s="27">
        <f>SUM(R74:R81)</f>
        <v>2125517.1492055072</v>
      </c>
      <c r="S82" s="27">
        <f>SUM(S74:S81)</f>
        <v>1061578.4240699869</v>
      </c>
      <c r="T82" s="41">
        <f>SUBTOTAL(9,T74:T81)</f>
        <v>1252212.8512519305</v>
      </c>
      <c r="U82" s="33"/>
      <c r="V82" s="42"/>
      <c r="Y82" s="9"/>
    </row>
    <row r="83" spans="1:29">
      <c r="A83" s="12"/>
      <c r="C83"/>
      <c r="O83" s="24"/>
      <c r="P83" s="32"/>
      <c r="V83" s="24"/>
      <c r="Y83" s="9"/>
    </row>
    <row r="84" spans="1:29" ht="15">
      <c r="A84" s="13"/>
      <c r="C84"/>
      <c r="O84" s="22"/>
      <c r="P84" s="23" t="s">
        <v>281</v>
      </c>
      <c r="Q84" s="23" t="s">
        <v>282</v>
      </c>
      <c r="R84" s="23" t="s">
        <v>283</v>
      </c>
      <c r="S84" s="23" t="s">
        <v>229</v>
      </c>
      <c r="T84" s="23" t="s">
        <v>230</v>
      </c>
      <c r="U84" s="23" t="s">
        <v>220</v>
      </c>
      <c r="V84" s="23" t="s">
        <v>221</v>
      </c>
      <c r="W84" s="23" t="s">
        <v>139</v>
      </c>
      <c r="X84" s="23" t="s">
        <v>61</v>
      </c>
      <c r="Y84" s="23" t="s">
        <v>66</v>
      </c>
      <c r="Z84" s="23" t="s">
        <v>140</v>
      </c>
      <c r="AA84" s="23" t="s">
        <v>28</v>
      </c>
      <c r="AB84" s="9"/>
      <c r="AC84" s="9"/>
    </row>
    <row r="85" spans="1:29">
      <c r="A85" s="10"/>
      <c r="C85"/>
      <c r="O85" s="26" t="s">
        <v>227</v>
      </c>
      <c r="P85" s="29">
        <f>SUMIF(L2:L70, "PRJMGT", P2:P70)</f>
        <v>12.819999999999999</v>
      </c>
      <c r="Q85" s="27">
        <f>SUMIF(L2:L70, "PRJMGT", T2:T70)</f>
        <v>122277.27981716421</v>
      </c>
      <c r="R85" s="27">
        <f>SUMIF(L2:L70, "PRJMGT", U2:U70)</f>
        <v>122277.27981716421</v>
      </c>
      <c r="S85" s="27">
        <f>SUMIF(L2:L70, "PRJMGT", V2:V70)+SUMIF(L2:L70, "PRJMGT", X2:X70)</f>
        <v>0</v>
      </c>
      <c r="T85" s="27">
        <f t="shared" ref="T85:T115" si="20">Q85-R85-S85</f>
        <v>0</v>
      </c>
      <c r="U85" s="29">
        <f t="shared" ref="U85:U91" si="21">P85</f>
        <v>12.819999999999999</v>
      </c>
      <c r="V85" s="29"/>
      <c r="W85" s="27">
        <f>SUMIF(K2:K70, "PRJMGT-OPS", T2:T70)</f>
        <v>0</v>
      </c>
      <c r="X85" s="27">
        <f>SUMIF(K2:K70, "PRJMGT-MAN", T2:T70)</f>
        <v>0</v>
      </c>
      <c r="Y85" s="27">
        <f>SUMIF(K2:K70, "PRJMGT-DEV", T2:T70)</f>
        <v>0</v>
      </c>
      <c r="Z85" s="27">
        <f>SUMIF(K2:K70, "PRJMGT-COORD", T2:T70)</f>
        <v>122277.27981716421</v>
      </c>
      <c r="AA85" s="27">
        <f>SUMIF(K2:K70, "PRJMGT-OUT", U2:U70)</f>
        <v>0</v>
      </c>
      <c r="AB85" s="33">
        <f>SUM(W85:AA85)</f>
        <v>122277.27981716421</v>
      </c>
      <c r="AC85" s="9"/>
    </row>
    <row r="86" spans="1:29">
      <c r="A86" s="12"/>
      <c r="C86"/>
      <c r="O86" s="26" t="s">
        <v>141</v>
      </c>
      <c r="P86" s="29">
        <f>SUMIF(L2:L70, "SPPS", P2:P70)</f>
        <v>48.569500314267756</v>
      </c>
      <c r="Q86" s="27">
        <f>SUMIF(L2:L70, "SPPS", T2:T70)</f>
        <v>405438.38249089592</v>
      </c>
      <c r="R86" s="27">
        <f>SUMIF(L2:L70, "SPPS", U2:U70)</f>
        <v>253172.0708681719</v>
      </c>
      <c r="S86" s="27">
        <f>SUMIF(L2:L70, "SPPS", V2:V70)+SUMIF(L2:L70, "SPPS", X2:X70)</f>
        <v>101359.59562272398</v>
      </c>
      <c r="T86" s="27">
        <f t="shared" si="20"/>
        <v>50906.716000000044</v>
      </c>
      <c r="U86" s="29">
        <f t="shared" si="21"/>
        <v>48.569500314267756</v>
      </c>
      <c r="V86" s="29"/>
      <c r="W86" s="27">
        <f>SUMIF(K2:K70, "SPPS-OPS", T2:T70)</f>
        <v>0</v>
      </c>
      <c r="X86" s="27">
        <f>SUMIF(K2:K70, "SPPS-MAN", T2:T70)</f>
        <v>0</v>
      </c>
      <c r="Y86" s="27">
        <f>SUMIF(K2:K70, "SPPS-DEV", T2:T70)</f>
        <v>0</v>
      </c>
      <c r="Z86" s="27">
        <f>SUMIF(K2:K70, "SPPS-COORD", T2:T70)</f>
        <v>0</v>
      </c>
      <c r="AA86" s="27">
        <f>SUMIF(K2:K70, "SPPS-OUT", T2:T70)</f>
        <v>405438.38249089592</v>
      </c>
      <c r="AB86" s="33">
        <f t="shared" ref="AB86:AB115" si="22">SUM(W86:AA86)</f>
        <v>405438.38249089592</v>
      </c>
      <c r="AC86" s="9"/>
    </row>
    <row r="87" spans="1:29">
      <c r="A87" s="13"/>
      <c r="C87"/>
      <c r="O87" s="26" t="s">
        <v>228</v>
      </c>
      <c r="P87" s="29">
        <f>SUMIF(L2:L70, "ADFIN", P2:P70)</f>
        <v>18.736666666666668</v>
      </c>
      <c r="Q87" s="27">
        <f>SUMIF(L2:L70, "ADFIN", T2:T70)</f>
        <v>159809.90774813434</v>
      </c>
      <c r="R87" s="27">
        <f>SUMIF(L2:L70, "ADFIN", U2:U70)</f>
        <v>88764.615748134325</v>
      </c>
      <c r="S87" s="27">
        <f>SUMIF(L2:L70, "ADFIN", V2:V70)+SUMIF(L2:L70, "ADFIN", X2:X70)</f>
        <v>23681.763999999999</v>
      </c>
      <c r="T87" s="27">
        <f t="shared" si="20"/>
        <v>47363.52800000002</v>
      </c>
      <c r="U87" s="29">
        <f t="shared" si="21"/>
        <v>18.736666666666668</v>
      </c>
      <c r="V87" s="29"/>
      <c r="W87" s="27">
        <f>SUMIF(K2:K70, "ADFIN-OPS", T2:T70)</f>
        <v>0</v>
      </c>
      <c r="X87" s="27">
        <f>SUMIF(K2:K70, "ADFIN-MAN", T2:T70)</f>
        <v>0</v>
      </c>
      <c r="Y87" s="27">
        <f>SUMIF(K2:K70, "ADFIN-DEV", T2:T70)</f>
        <v>0</v>
      </c>
      <c r="Z87" s="27">
        <f>SUMIF(K2:K70, "ADFIN-COORD", T2:T70)</f>
        <v>159809.90774813434</v>
      </c>
      <c r="AA87" s="27">
        <f>SUMIF(K2:K70, "ADFIN-OUT", T2:T70)</f>
        <v>0</v>
      </c>
      <c r="AB87" s="33">
        <f t="shared" si="22"/>
        <v>159809.90774813434</v>
      </c>
      <c r="AC87" s="9"/>
    </row>
    <row r="88" spans="1:29">
      <c r="A88" s="12"/>
      <c r="C88"/>
      <c r="O88" s="26" t="s">
        <v>142</v>
      </c>
      <c r="P88" s="29">
        <f>SUMIF(L2:L70, "TECHMGT", P2:P70)</f>
        <v>92.037936507936521</v>
      </c>
      <c r="Q88" s="27">
        <f>SUMIF(L2:L70, "TECHMGT", T2:T70)</f>
        <v>795758.7108148908</v>
      </c>
      <c r="R88" s="27">
        <f>SUMIF(L2:L70, "TECHMGT", U2:U70)</f>
        <v>573225.00111116807</v>
      </c>
      <c r="S88" s="27">
        <f>SUMIF(L2:L70, "TECHMGT", V2:V70)+SUMIF(L2:L70, "TECHMGT", X2:X70)</f>
        <v>198939.6777037227</v>
      </c>
      <c r="T88" s="27">
        <f t="shared" si="20"/>
        <v>23594.032000000036</v>
      </c>
      <c r="U88" s="29">
        <f t="shared" si="21"/>
        <v>92.037936507936521</v>
      </c>
      <c r="V88" s="29"/>
      <c r="W88" s="27">
        <f>SUMIF(K2:K70, "TECHMGT-OPS", T2:T70)</f>
        <v>0</v>
      </c>
      <c r="X88" s="27">
        <f>SUMIF(K2:K70, "TECHMGT-MAN", T2:T70)</f>
        <v>0</v>
      </c>
      <c r="Y88" s="27">
        <f>SUMIF(K2:K70, "TECHMGT-DEV", T2:T70)</f>
        <v>0</v>
      </c>
      <c r="Z88" s="27">
        <f>SUMIF(K2:K70, "TECHMGT-COORD", T2:T70)</f>
        <v>795758.7108148908</v>
      </c>
      <c r="AA88" s="27">
        <f>SUMIF(K2:K70, "TECHMGT-OUT", T2:T70)</f>
        <v>0</v>
      </c>
      <c r="AB88" s="33">
        <f t="shared" si="22"/>
        <v>795758.7108148908</v>
      </c>
      <c r="AC88" s="9"/>
    </row>
    <row r="89" spans="1:29" s="24" customFormat="1">
      <c r="A89" s="101"/>
      <c r="O89" s="94" t="s">
        <v>237</v>
      </c>
      <c r="P89" s="95">
        <f>SUMIF(L2:L70, "TMP", P2:P70)</f>
        <v>5.9552734129478235</v>
      </c>
      <c r="Q89" s="96">
        <f>SUMIF(L2:L70, "TMP", T2:T70)</f>
        <v>34204.970999999998</v>
      </c>
      <c r="R89" s="96">
        <f>SUMIF(L2:L70, "TMP", U2:U70)</f>
        <v>8551.2427499999994</v>
      </c>
      <c r="S89" s="96">
        <f>SUMIF(L2:L70, "TMP", V2:V70)+SUMIF(L2:L70, "TMP", X2:X70)</f>
        <v>8551.2427499999994</v>
      </c>
      <c r="T89" s="96">
        <f t="shared" si="20"/>
        <v>17102.485500000003</v>
      </c>
      <c r="U89" s="95">
        <f t="shared" si="21"/>
        <v>5.9552734129478235</v>
      </c>
      <c r="V89" s="95">
        <f>P89</f>
        <v>5.9552734129478235</v>
      </c>
      <c r="W89" s="96">
        <f>SUMIF(K2:K70, "TMP", T2:T70)*20%</f>
        <v>6840.9942000000001</v>
      </c>
      <c r="X89" s="96">
        <f>SUMIF(K2:K70, "TMP-MAN", T2:T70)</f>
        <v>0</v>
      </c>
      <c r="Y89" s="96">
        <f>SUMIF(K2:K70, "TMP", T2:T70)*80%</f>
        <v>27363.9768</v>
      </c>
      <c r="Z89" s="96">
        <f>SUMIF(K2:K70, "TMP-COORD", T2:T70)</f>
        <v>0</v>
      </c>
      <c r="AA89" s="96">
        <f>SUMIF(K2:K70, "TMP-COORD", T2:T70)</f>
        <v>0</v>
      </c>
      <c r="AB89" s="97">
        <f>SUM(W89:AA89)</f>
        <v>34204.970999999998</v>
      </c>
      <c r="AC89" s="98"/>
    </row>
    <row r="90" spans="1:29" s="24" customFormat="1">
      <c r="A90" s="102"/>
      <c r="C90" s="100"/>
      <c r="O90" s="94" t="s">
        <v>143</v>
      </c>
      <c r="P90" s="95">
        <f>SUMIF(L2:L70, "MARCOM", P2:P70)</f>
        <v>31.349999999999994</v>
      </c>
      <c r="Q90" s="96">
        <f>SUMIF(L2:L70, "MARCOM", T2:T70)</f>
        <v>193097.14897450799</v>
      </c>
      <c r="R90" s="96">
        <f>SUMIF(L2:L70, "MARCOM", U2:U70)</f>
        <v>144822.86173088098</v>
      </c>
      <c r="S90" s="96">
        <f>SUMIF(L2:L70, "MARCOM", V2:V70)+SUMIF(L2:L70, "MARCOM", X2:X70)</f>
        <v>48274.287243627012</v>
      </c>
      <c r="T90" s="96">
        <f t="shared" si="20"/>
        <v>0</v>
      </c>
      <c r="U90" s="95">
        <f t="shared" si="21"/>
        <v>31.349999999999994</v>
      </c>
      <c r="V90" s="95"/>
      <c r="W90" s="96">
        <f>SUMIF(K2:K70, "MARCOM-OPS", T2:T70)</f>
        <v>0</v>
      </c>
      <c r="X90" s="96">
        <f>SUMIF(K2:K70, "MARCOM-MAN", T2:T70)</f>
        <v>0</v>
      </c>
      <c r="Y90" s="96">
        <f>SUMIF(K2:K70, "MARCOM-DEV", T2:T70)</f>
        <v>0</v>
      </c>
      <c r="Z90" s="96">
        <f>SUMIF(K2:K70, "MARCOM-COORD", T2:T70)</f>
        <v>0</v>
      </c>
      <c r="AA90" s="96">
        <f>SUMIF(K2:K70, "MARCOM-OUT", T2:T70)</f>
        <v>193097.14897450799</v>
      </c>
      <c r="AB90" s="97">
        <f t="shared" si="22"/>
        <v>193097.14897450799</v>
      </c>
      <c r="AC90" s="98"/>
    </row>
    <row r="91" spans="1:29" s="24" customFormat="1" ht="13" customHeight="1">
      <c r="A91" s="101"/>
      <c r="C91" s="100"/>
      <c r="O91" s="94" t="s">
        <v>37</v>
      </c>
      <c r="P91" s="95">
        <f>SUMIF(L2:L70, "COMOUT", P2:P70)</f>
        <v>18.829999999999998</v>
      </c>
      <c r="Q91" s="96">
        <f>SUMIF(L2:L70, "COMOUT", T2:T70)</f>
        <v>162820.15679631702</v>
      </c>
      <c r="R91" s="96">
        <f>SUMIF(L2:L70, "COMOUT", U2:U70)</f>
        <v>122115.11759723777</v>
      </c>
      <c r="S91" s="96">
        <f>SUMIF(L2:L70, "COMOUT", V2:V70)+SUMIF(L2:L70, "COMOUT", X2:X70)</f>
        <v>40705.039199079256</v>
      </c>
      <c r="T91" s="96">
        <f t="shared" si="20"/>
        <v>0</v>
      </c>
      <c r="U91" s="95">
        <f t="shared" si="21"/>
        <v>18.829999999999998</v>
      </c>
      <c r="V91" s="95"/>
      <c r="W91" s="96">
        <f>SUMIF(K2:K70, "COMOUT-OPS", T2:T70)</f>
        <v>0</v>
      </c>
      <c r="X91" s="96">
        <f>SUMIF(K2:K70, "COMOUT-MAN", T2:T70)</f>
        <v>0</v>
      </c>
      <c r="Y91" s="96">
        <f>SUMIF(K2:K70, "COMOUT-DEV", T2:T70)</f>
        <v>0</v>
      </c>
      <c r="Z91" s="96">
        <f>SUMIF(K2:K70, "COMOUT-COORD", T2:T70)</f>
        <v>0</v>
      </c>
      <c r="AA91" s="96">
        <f>SUMIF(K2:K70, "COMOUT-OUT", T2:T70)</f>
        <v>162820.15679631702</v>
      </c>
      <c r="AB91" s="97">
        <f t="shared" si="22"/>
        <v>162820.15679631702</v>
      </c>
      <c r="AC91" s="98"/>
    </row>
    <row r="92" spans="1:29" s="24" customFormat="1">
      <c r="A92" s="99"/>
      <c r="C92" s="100"/>
      <c r="O92" s="94" t="s">
        <v>144</v>
      </c>
      <c r="P92" s="95">
        <f>SUMIF(L2:L70, "TECHOUT", P2:P70)</f>
        <v>39.840000000000003</v>
      </c>
      <c r="Q92" s="96">
        <f>SUMIF(L2:L70, "TECHOUT", T2:T70)</f>
        <v>268198.62935808941</v>
      </c>
      <c r="R92" s="96">
        <f>SUMIF(L2:L70, "TECHOUT", U2:U70)</f>
        <v>201148.97201856706</v>
      </c>
      <c r="S92" s="96">
        <f>SUMIF(L2:L70, "TECHOUT", V2:V70)+SUMIF(L2:L70, "TECHOUT", X2:X70)</f>
        <v>67049.657339522353</v>
      </c>
      <c r="T92" s="96">
        <f t="shared" si="20"/>
        <v>0</v>
      </c>
      <c r="U92" s="95">
        <f>SUMIF(K2:K70, "TECHOUT-OUT", P2:P70)</f>
        <v>39.840000000000003</v>
      </c>
      <c r="V92" s="95"/>
      <c r="W92" s="96">
        <f>SUMIF(K2:K70, "TECHOUT", T2:T70)*20%</f>
        <v>0</v>
      </c>
      <c r="X92" s="96">
        <f>SUMIF(K2:K70, "TECHOUT-MAN", T2:T70)</f>
        <v>0</v>
      </c>
      <c r="Y92" s="96">
        <f>SUMIF(K2:K70, "TECHOUT", T2:T70)*80%</f>
        <v>0</v>
      </c>
      <c r="Z92" s="96">
        <f>SUMIF(K2:K70, "TECHOUT-COORD", T2:T70)</f>
        <v>0</v>
      </c>
      <c r="AA92" s="96">
        <f>SUMIF(K2:K70, "TECHOUT-OUT", T2:T70)</f>
        <v>268198.62935808941</v>
      </c>
      <c r="AB92" s="97">
        <f t="shared" si="22"/>
        <v>268198.62935808941</v>
      </c>
      <c r="AC92" s="98"/>
    </row>
    <row r="93" spans="1:29" s="24" customFormat="1">
      <c r="A93" s="102"/>
      <c r="C93" s="100"/>
      <c r="O93" s="94" t="s">
        <v>145</v>
      </c>
      <c r="P93" s="95">
        <f>SUMIF(L2:L70, "VOS", P2:P70)</f>
        <v>2.939247325361861</v>
      </c>
      <c r="Q93" s="96">
        <f>SUMIF(L2:L70, "VOS", T2:T70)</f>
        <v>16208.428800000002</v>
      </c>
      <c r="R93" s="96">
        <f>SUMIF(L2:L70, "VOS", U2:U70)</f>
        <v>4052.1072000000004</v>
      </c>
      <c r="S93" s="96">
        <f>SUMIF(L2:L70, "VOS", V2:V70)+SUMIF(L2:L70, "VOS", X2:X70)</f>
        <v>4052.1072000000004</v>
      </c>
      <c r="T93" s="96">
        <f t="shared" si="20"/>
        <v>8104.2144000000008</v>
      </c>
      <c r="U93" s="95"/>
      <c r="V93" s="95">
        <f>P93</f>
        <v>2.939247325361861</v>
      </c>
      <c r="W93" s="96">
        <f>SUMIF(K2:K70, "VOS", T2:T70)*50%</f>
        <v>8104.2144000000008</v>
      </c>
      <c r="X93" s="96">
        <f>SUMIF(K2:K70, "VOS-MAN", T2:T70)</f>
        <v>0</v>
      </c>
      <c r="Y93" s="96">
        <f>SUMIF(K2:K70, "VOS", T2:T70)*50%</f>
        <v>8104.2144000000008</v>
      </c>
      <c r="Z93" s="96">
        <f>SUMIF(K2:K70, "VOS-COORD", T2:T70)</f>
        <v>0</v>
      </c>
      <c r="AA93" s="96">
        <f>SUMIF(K2:K70, "VOS-OUT", T2:T70)</f>
        <v>0</v>
      </c>
      <c r="AB93" s="97">
        <f t="shared" si="22"/>
        <v>16208.428800000002</v>
      </c>
      <c r="AC93" s="98"/>
    </row>
    <row r="94" spans="1:29" s="24" customFormat="1">
      <c r="A94" s="102"/>
      <c r="C94" s="100"/>
      <c r="O94" s="94" t="s">
        <v>291</v>
      </c>
      <c r="P94" s="95">
        <f>SUMIF(L2:L70, "CRM", P2:P70)</f>
        <v>6.1548143486469495</v>
      </c>
      <c r="Q94" s="96">
        <f>SUMIF(L2:L70, "CRM", T2:T70)</f>
        <v>22890.835200000001</v>
      </c>
      <c r="R94" s="96">
        <f>SUMIF(L2:L70, "CRM", U2:U70)</f>
        <v>5722.7088000000003</v>
      </c>
      <c r="S94" s="96">
        <f>SUMIF(L2:L70, "CRM", V2:V70)+SUMIF(L2:L70, "CRM", X2:X70)</f>
        <v>5722.7088000000003</v>
      </c>
      <c r="T94" s="96">
        <f>Q94-R94-S94</f>
        <v>11445.417600000001</v>
      </c>
      <c r="U94" s="95"/>
      <c r="V94" s="95">
        <f>P94</f>
        <v>6.1548143486469495</v>
      </c>
      <c r="W94" s="96">
        <f>SUMIF(K2:K70, "CRM", T2:T70)*30%</f>
        <v>6867.2505600000004</v>
      </c>
      <c r="X94" s="96">
        <f>SUMIF(K2:K70, "CRM-MAN", T2:T70)</f>
        <v>0</v>
      </c>
      <c r="Y94" s="96">
        <f>SUMIF(K2:K70, "CRM", T2:T70)*70%</f>
        <v>16023.584639999999</v>
      </c>
      <c r="Z94" s="96">
        <f>SUMIF(K2:K70, "CRM-COORD", T2:T70)</f>
        <v>0</v>
      </c>
      <c r="AA94" s="96">
        <f>SUMIF(K2:K70, "CRM-OUT", T2:T70)</f>
        <v>0</v>
      </c>
      <c r="AB94" s="97">
        <f>SUM(W94:AA94)</f>
        <v>22890.835200000001</v>
      </c>
      <c r="AC94" s="98"/>
    </row>
    <row r="95" spans="1:29" s="34" customFormat="1">
      <c r="A95" s="101"/>
      <c r="C95" s="103"/>
      <c r="O95" s="94" t="s">
        <v>146</v>
      </c>
      <c r="P95" s="95">
        <f>SUMIF(L2:L70, "DEFVER", P2:P70)</f>
        <v>38.081022999508164</v>
      </c>
      <c r="Q95" s="96">
        <f>SUMIF(L2:L70, "DEFVER", T2:T70)</f>
        <v>185692.50400000002</v>
      </c>
      <c r="R95" s="96">
        <f>SUMIF(L2:L70, "DEFVER", U2:U70)</f>
        <v>46423.126000000004</v>
      </c>
      <c r="S95" s="96">
        <f>SUMIF(L2:L70, "DEFVER", V2:V70)+SUMIF(L2:L70, "DEFVER", X2:X70)</f>
        <v>46423.126000000004</v>
      </c>
      <c r="T95" s="96">
        <f t="shared" si="20"/>
        <v>92846.252000000022</v>
      </c>
      <c r="U95" s="95">
        <f>P95</f>
        <v>38.081022999508164</v>
      </c>
      <c r="V95" s="95"/>
      <c r="W95" s="96">
        <f>SUMIF(K2:K70, "DEFVER-OPS", T2:T70)</f>
        <v>0</v>
      </c>
      <c r="X95" s="96">
        <f>SUMIF(K2:K70, "DEFVER-MAN", T2:T70)</f>
        <v>0</v>
      </c>
      <c r="Y95" s="96">
        <f>SUMIF(K2:K70, "DEFVER-DEV", T2:T70)</f>
        <v>0</v>
      </c>
      <c r="Z95" s="96">
        <f>SUMIF(K2:K70, "DEFVER-COORD", T2:T70)</f>
        <v>185692.50400000002</v>
      </c>
      <c r="AA95" s="96">
        <f>SUMIF(K2:K70, "DEFVER-OUT", T2:T70)</f>
        <v>0</v>
      </c>
      <c r="AB95" s="97">
        <f t="shared" si="22"/>
        <v>185692.50400000002</v>
      </c>
      <c r="AC95" s="98"/>
    </row>
    <row r="96" spans="1:29" s="24" customFormat="1" ht="15" customHeight="1">
      <c r="A96" s="104"/>
      <c r="C96" s="100"/>
      <c r="O96" s="94" t="s">
        <v>147</v>
      </c>
      <c r="P96" s="95">
        <f>SUMIF(L2:L70, "REPO", P2:P70)</f>
        <v>18.290361904761905</v>
      </c>
      <c r="Q96" s="96">
        <f>SUMIF(L2:L70, "REPO", T2:T70)</f>
        <v>133658.95887149501</v>
      </c>
      <c r="R96" s="96">
        <f>SUMIF(L2:L70, "REPO", U2:U70)</f>
        <v>33414.739717873752</v>
      </c>
      <c r="S96" s="96">
        <f>SUMIF(L2:L70, "REPO", V2:V70)+SUMIF(L2:L70, "REPO", X2:X70)</f>
        <v>33414.739717873752</v>
      </c>
      <c r="T96" s="96">
        <f t="shared" si="20"/>
        <v>66829.479435747518</v>
      </c>
      <c r="U96" s="95"/>
      <c r="V96" s="95">
        <f t="shared" ref="V96:V107" si="23">P96</f>
        <v>18.290361904761905</v>
      </c>
      <c r="W96" s="96">
        <f>SUMIF(K2:K70, "REPO", T2:T70)*20%</f>
        <v>26731.791774299003</v>
      </c>
      <c r="X96" s="96">
        <f>SUMIF(K2:K70, "REPO-MAN", T2:T70)</f>
        <v>0</v>
      </c>
      <c r="Y96" s="96">
        <f>SUMIF(K2:K70, "REPO", T2:T70)*80%</f>
        <v>106927.16709719601</v>
      </c>
      <c r="Z96" s="96">
        <f>SUMIF(K2:K70, "REPO-COORD", T2:T70)</f>
        <v>0</v>
      </c>
      <c r="AA96" s="96">
        <f>SUMIF(K2:K70, "REPO-OUT", T2:T70)</f>
        <v>0</v>
      </c>
      <c r="AB96" s="97">
        <f t="shared" si="22"/>
        <v>133658.95887149501</v>
      </c>
      <c r="AC96" s="98"/>
    </row>
    <row r="97" spans="1:29" s="24" customFormat="1">
      <c r="A97" s="99"/>
      <c r="C97" s="100"/>
      <c r="E97" s="100"/>
      <c r="F97" s="100"/>
      <c r="G97" s="100"/>
      <c r="H97" s="100"/>
      <c r="O97" s="94" t="s">
        <v>148</v>
      </c>
      <c r="P97" s="95">
        <f>SUMIF(L2:L70, "APPDB", P2:P70)</f>
        <v>7.9315047619047556</v>
      </c>
      <c r="Q97" s="96">
        <f>SUMIF(L2:L70, "APPDB", T2:T70)</f>
        <v>66065.84</v>
      </c>
      <c r="R97" s="96">
        <f>SUMIF(L2:L70, "APPDB", U2:U70)</f>
        <v>16516.46</v>
      </c>
      <c r="S97" s="96">
        <f>SUMIF(L2:L70, "APPDB", V2:V70)+SUMIF(L2:L70, "APPDB", X2:X70)</f>
        <v>16516.46</v>
      </c>
      <c r="T97" s="96">
        <f t="shared" si="20"/>
        <v>33032.92</v>
      </c>
      <c r="U97" s="95"/>
      <c r="V97" s="95">
        <f t="shared" si="23"/>
        <v>7.9315047619047556</v>
      </c>
      <c r="W97" s="96">
        <f>SUMIF(K2:K70, "APPDB", T2:T70)*20%</f>
        <v>13213.168</v>
      </c>
      <c r="X97" s="96">
        <f>SUMIF(K2:K70, "APPDB-MAN", T2:T70)</f>
        <v>0</v>
      </c>
      <c r="Y97" s="96">
        <f>SUMIF(K2:K70, "APPDB", T2:T70)*80%</f>
        <v>52852.671999999999</v>
      </c>
      <c r="Z97" s="96">
        <f>SUMIF(K2:K70, "APPDB-COORD", T2:T70)</f>
        <v>0</v>
      </c>
      <c r="AA97" s="96">
        <f>SUMIF(K2:K70, "APPDB-OUT", T2:T70)</f>
        <v>0</v>
      </c>
      <c r="AB97" s="97">
        <f t="shared" si="22"/>
        <v>66065.84</v>
      </c>
      <c r="AC97" s="98"/>
    </row>
    <row r="98" spans="1:29">
      <c r="A98" s="12"/>
      <c r="E98" s="20"/>
      <c r="F98" s="21"/>
      <c r="G98" s="20"/>
      <c r="H98" s="20"/>
      <c r="I98" s="20"/>
      <c r="J98" s="20"/>
      <c r="K98" s="20"/>
      <c r="L98" s="20"/>
      <c r="O98" s="94" t="s">
        <v>149</v>
      </c>
      <c r="P98" s="95">
        <f>SUMIF(L2:L70, "MESS", P2:P70)</f>
        <v>7.034372964669739</v>
      </c>
      <c r="Q98" s="96">
        <f>SUMIF(L2:L70, "MESS", T2:T70)</f>
        <v>65965.35503498574</v>
      </c>
      <c r="R98" s="96">
        <f>SUMIF(L2:L70, "MESS", U2:U70)</f>
        <v>16491.338758746435</v>
      </c>
      <c r="S98" s="96">
        <f>SUMIF(L2:L70, "MESS", V2:V70)+SUMIF(L2:L70, "MESS", X2:X70)</f>
        <v>16491.338758746435</v>
      </c>
      <c r="T98" s="96">
        <f t="shared" si="20"/>
        <v>32982.677517492863</v>
      </c>
      <c r="U98" s="95"/>
      <c r="V98" s="95">
        <f t="shared" si="23"/>
        <v>7.034372964669739</v>
      </c>
      <c r="W98" s="96">
        <f>SUMIF(K2:K70, "MESS-OPS", T2:T70)</f>
        <v>50811.875034985744</v>
      </c>
      <c r="X98" s="96">
        <f>SUMIF(K2:K70, "MESS-MAN", T2:T70)</f>
        <v>15153.48</v>
      </c>
      <c r="Y98" s="96">
        <f>SUMIF(K2:K70, "MESS-DEV", T2:T70)</f>
        <v>0</v>
      </c>
      <c r="Z98" s="96">
        <f>SUMIF(K2:K70, "MESS-COORD", T2:T70)</f>
        <v>0</v>
      </c>
      <c r="AA98" s="96">
        <f>SUMIF(K2:K70, "MESS-OUT", T2:T70)</f>
        <v>0</v>
      </c>
      <c r="AB98" s="97">
        <f t="shared" si="22"/>
        <v>65965.35503498574</v>
      </c>
      <c r="AC98" s="98"/>
    </row>
    <row r="99" spans="1:29">
      <c r="A99" s="13"/>
      <c r="E99" s="20"/>
      <c r="F99" s="21"/>
      <c r="G99" s="20"/>
      <c r="H99" s="20"/>
      <c r="I99" s="20"/>
      <c r="J99" s="20"/>
      <c r="K99" s="20"/>
      <c r="L99" s="20"/>
      <c r="O99" s="94" t="s">
        <v>150</v>
      </c>
      <c r="P99" s="95">
        <f>SUMIF(L2:L70, "OPPORT", P2:P70)</f>
        <v>28.720112566008364</v>
      </c>
      <c r="Q99" s="96">
        <f>SUMIF(L2:L70, "OPPORT", T2:T70)</f>
        <v>193361.85952842791</v>
      </c>
      <c r="R99" s="96">
        <f>SUMIF(L2:L70, "OPPORT", U2:U70)</f>
        <v>59537.14998943379</v>
      </c>
      <c r="S99" s="96">
        <f>SUMIF(L2:L70, "OPPORT", V2:V70)+SUMIF(L2:L70, "OPPORT", X2:X70)</f>
        <v>29679.323036562277</v>
      </c>
      <c r="T99" s="96">
        <f t="shared" si="20"/>
        <v>104145.38650243185</v>
      </c>
      <c r="U99" s="95"/>
      <c r="V99" s="95">
        <f t="shared" si="23"/>
        <v>28.720112566008364</v>
      </c>
      <c r="W99" s="96">
        <f>SUMIF(K2:K70, "OPPORT-OPS", T2:T70)</f>
        <v>20729.836146249101</v>
      </c>
      <c r="X99" s="96">
        <f>SUMIF(K2:K70, "OPPORT", T2:T70)*20%</f>
        <v>34526.404676435763</v>
      </c>
      <c r="Y99" s="96">
        <f>SUMIF(K2:K70, "OPPORT", T2:T70)*80%</f>
        <v>138105.61870574305</v>
      </c>
      <c r="Z99" s="96">
        <f>SUMIF(K2:K70, "OPPORT-COORD", T2:T70)</f>
        <v>0</v>
      </c>
      <c r="AA99" s="96">
        <f>SUMIF(K2:K70, "OPPORT-OUT", T2:T70)</f>
        <v>0</v>
      </c>
      <c r="AB99" s="97">
        <f t="shared" si="22"/>
        <v>193361.85952842791</v>
      </c>
      <c r="AC99" s="98"/>
    </row>
    <row r="100" spans="1:29">
      <c r="A100" s="10"/>
      <c r="E100" s="20"/>
      <c r="F100" s="21"/>
      <c r="G100" s="20"/>
      <c r="H100" s="20"/>
      <c r="I100" s="20"/>
      <c r="J100" s="20"/>
      <c r="K100" s="20"/>
      <c r="L100" s="20"/>
      <c r="O100" s="94" t="s">
        <v>151</v>
      </c>
      <c r="P100" s="95">
        <f>SUMIF(L2:L70, "ACCTP", P2:P70)</f>
        <v>21.216361240266622</v>
      </c>
      <c r="Q100" s="96">
        <f>SUMIF(L2:L70, "ACCTP", T2:T70)</f>
        <v>135450.005</v>
      </c>
      <c r="R100" s="96">
        <f>SUMIF(L2:L70, "ACCTP", U2:U70)</f>
        <v>50781.311600000001</v>
      </c>
      <c r="S100" s="96">
        <f>SUMIF(L2:L70, "ACCTP", V2:V70)+SUMIF(L2:L70, "ACCTP", X2:X70)</f>
        <v>67286.983000000007</v>
      </c>
      <c r="T100" s="96">
        <f t="shared" si="20"/>
        <v>17381.710399999996</v>
      </c>
      <c r="U100" s="95"/>
      <c r="V100" s="95">
        <f t="shared" si="23"/>
        <v>21.216361240266622</v>
      </c>
      <c r="W100" s="96">
        <f>SUMIF(K2:K70, "ACCTP-OPS", T2:T70)</f>
        <v>10802.415999999997</v>
      </c>
      <c r="X100" s="96">
        <f>SUMIF(K2:K70, "ACCTP", T2:T70)*70%</f>
        <v>87253.312299999991</v>
      </c>
      <c r="Y100" s="96">
        <f>SUMIF(K2:K70, "ACCTP", T2:T70)*30%</f>
        <v>37394.276699999995</v>
      </c>
      <c r="Z100" s="96">
        <f>SUMIF(K2:K70, "ACCTP-COORD", T2:T70)</f>
        <v>0</v>
      </c>
      <c r="AA100" s="96">
        <f>SUMIF(K2:K70, "ACCTP-OUT", T2:T70)</f>
        <v>0</v>
      </c>
      <c r="AB100" s="97">
        <f t="shared" si="22"/>
        <v>135450.00499999998</v>
      </c>
      <c r="AC100" s="98"/>
    </row>
    <row r="101" spans="1:29">
      <c r="A101" s="10"/>
      <c r="E101" s="20"/>
      <c r="F101" s="21"/>
      <c r="G101" s="20"/>
      <c r="H101" s="20"/>
      <c r="I101" s="20"/>
      <c r="J101" s="20"/>
      <c r="K101" s="20"/>
      <c r="L101" s="20"/>
      <c r="O101" s="94" t="s">
        <v>239</v>
      </c>
      <c r="P101" s="95">
        <f>SUMIF(L2:L70, "ACCTREPO", P2:P70)</f>
        <v>3.9381269641734731</v>
      </c>
      <c r="Q101" s="96">
        <f>SUMIF(L2:L70, "ACCTREPO", T2:T70)</f>
        <v>89006.710999999996</v>
      </c>
      <c r="R101" s="96">
        <f>SUMIF(L2:L70, "ACCTREPO", U2:U70)</f>
        <v>31653.179674999999</v>
      </c>
      <c r="S101" s="96">
        <f>SUMIF(L2:L70, "ACCTREPO", V2:V70)+SUMIF(L2:L70, "ACCTREPO", X2:X70)</f>
        <v>6582.5078749999993</v>
      </c>
      <c r="T101" s="96">
        <f>Q101-R101-S101</f>
        <v>50771.023449999993</v>
      </c>
      <c r="U101" s="95"/>
      <c r="V101" s="95">
        <f>P101</f>
        <v>3.9381269641734731</v>
      </c>
      <c r="W101" s="96">
        <f>SUMIF(K2:K70, "ACCTREPO-OPS", T2:T70)</f>
        <v>26330.031499999997</v>
      </c>
      <c r="X101" s="96">
        <f>SUMIF(K2:K70, "ACCTREPO", T2:T70)*25%</f>
        <v>15669.169875</v>
      </c>
      <c r="Y101" s="96">
        <f>SUMIF(K2:K70, "ACCTREPO", T2:T70)*75%</f>
        <v>47007.509624999999</v>
      </c>
      <c r="Z101" s="96">
        <f>SUMIF(K2:K70, "ACCTREPO-COORD", T2:T70)</f>
        <v>0</v>
      </c>
      <c r="AA101" s="96">
        <f>SUMIF(K2:K70, "ACCTREPO-OUT", T2:T70)</f>
        <v>0</v>
      </c>
      <c r="AB101" s="97">
        <f>SUM(W101:AA101)</f>
        <v>89006.710999999996</v>
      </c>
      <c r="AC101" s="98"/>
    </row>
    <row r="102" spans="1:29">
      <c r="A102" s="10"/>
      <c r="E102" s="20"/>
      <c r="F102" s="21"/>
      <c r="G102" s="20"/>
      <c r="H102" s="20"/>
      <c r="I102" s="20"/>
      <c r="J102" s="20"/>
      <c r="K102" s="20"/>
      <c r="L102" s="20"/>
      <c r="O102" s="94" t="s">
        <v>240</v>
      </c>
      <c r="P102" s="95">
        <f>SUMIF(L2:L70, "METPORT", P2:P70)</f>
        <v>2.1860744297719101</v>
      </c>
      <c r="Q102" s="96">
        <f>SUMIF(L2:L70, "METPORT", T2:T70)</f>
        <v>11855.52</v>
      </c>
      <c r="R102" s="96">
        <f>SUMIF(L2:L70, "METPORT", U2:U70)</f>
        <v>2963.88</v>
      </c>
      <c r="S102" s="96">
        <f>SUMIF(L2:L70, "METPORT", V2:V70)+SUMIF(L2:L70, "METPORT", X2:X70)</f>
        <v>2963.88</v>
      </c>
      <c r="T102" s="96">
        <f>Q102-R102-S102</f>
        <v>5927.7599999999993</v>
      </c>
      <c r="U102" s="95"/>
      <c r="V102" s="95">
        <f>P102</f>
        <v>2.1860744297719101</v>
      </c>
      <c r="W102" s="96">
        <f>SUMIF(K2:K70, "METPORT-OPS", T2:T70)</f>
        <v>0</v>
      </c>
      <c r="X102" s="96">
        <f>SUMIF(K2:K70, "METPORT", T2:T70)*10%</f>
        <v>1185.5520000000001</v>
      </c>
      <c r="Y102" s="96">
        <f>SUMIF(K2:K70, "METPORT", T2:T70)*90%</f>
        <v>10669.968000000001</v>
      </c>
      <c r="Z102" s="96">
        <f>SUMIF(K2:K70, "METPORT-COORD", T2:T70)</f>
        <v>0</v>
      </c>
      <c r="AA102" s="96">
        <f>SUMIF(K2:K70, "METPORT", T2:T70)</f>
        <v>11855.52</v>
      </c>
      <c r="AB102" s="97">
        <f>SUM(W102:AA102)</f>
        <v>23711.040000000001</v>
      </c>
      <c r="AC102" s="98"/>
    </row>
    <row r="103" spans="1:29">
      <c r="A103" s="12"/>
      <c r="E103" s="20"/>
      <c r="F103" s="21"/>
      <c r="G103" s="20"/>
      <c r="H103" s="20"/>
      <c r="I103" s="20"/>
      <c r="J103" s="20"/>
      <c r="K103" s="20"/>
      <c r="L103" s="20"/>
      <c r="O103" s="94" t="s">
        <v>152</v>
      </c>
      <c r="P103" s="95">
        <f>SUMIF(L2:L70, "SAM", P2:P70)</f>
        <v>27.529305342208573</v>
      </c>
      <c r="Q103" s="96">
        <f>SUMIF(L2:L70, "SAM", T2:T70)</f>
        <v>516346.26544652105</v>
      </c>
      <c r="R103" s="96">
        <f>SUMIF(L2:L70, "SAM", U2:U70)</f>
        <v>129086.56636163026</v>
      </c>
      <c r="S103" s="96">
        <f>SUMIF(L2:L70, "SAM", V2:V70)+SUMIF(L2:L70, "SAM", X2:X70)</f>
        <v>129086.56636163026</v>
      </c>
      <c r="T103" s="96">
        <f t="shared" si="20"/>
        <v>258173.1327232605</v>
      </c>
      <c r="U103" s="95"/>
      <c r="V103" s="95">
        <f t="shared" si="23"/>
        <v>27.529305342208573</v>
      </c>
      <c r="W103" s="96">
        <f>SUMIF(K2:K70, "SAM-OPS", T2:T70)</f>
        <v>374123.04904565291</v>
      </c>
      <c r="X103" s="96">
        <f>SUMIF(K2:K70, "SAM", T2:T70)*65%</f>
        <v>92445.09066056431</v>
      </c>
      <c r="Y103" s="96">
        <f>SUMIF(K2:K70, "SAM", T2:T70)*35%</f>
        <v>49778.125740303854</v>
      </c>
      <c r="Z103" s="96">
        <f>SUMIF(K2:K70, "SAM-COORD", T2:T70)</f>
        <v>0</v>
      </c>
      <c r="AA103" s="96">
        <f>SUMIF(K2:K70, "SAM-OUT", T2:T70)</f>
        <v>0</v>
      </c>
      <c r="AB103" s="97">
        <f t="shared" si="22"/>
        <v>516346.26544652105</v>
      </c>
      <c r="AC103" s="98"/>
    </row>
    <row r="104" spans="1:29" s="9" customFormat="1">
      <c r="A104" s="13"/>
      <c r="C104" s="14"/>
      <c r="E104" s="20"/>
      <c r="F104" s="21"/>
      <c r="G104" s="20"/>
      <c r="H104" s="20"/>
      <c r="I104" s="20"/>
      <c r="J104" s="20"/>
      <c r="K104" s="20"/>
      <c r="L104" s="20"/>
      <c r="O104" s="94" t="s">
        <v>153</v>
      </c>
      <c r="P104" s="95">
        <f>SUMIF(L2:L70, "NETMON", P2:P70)</f>
        <v>0.86507936507936545</v>
      </c>
      <c r="Q104" s="96">
        <f>SUMIF(L2:L70, "NETMON", T2:T70)</f>
        <v>5778</v>
      </c>
      <c r="R104" s="96">
        <f>SUMIF(L2:L70, "NETMON", U2:U70)</f>
        <v>1444.5</v>
      </c>
      <c r="S104" s="96">
        <f>SUMIF(L2:L70, "NETMON", V2:V70)+SUMIF(L2:L70, "NETMON", X2:X70)</f>
        <v>1444.5</v>
      </c>
      <c r="T104" s="96">
        <f t="shared" si="20"/>
        <v>2889</v>
      </c>
      <c r="U104" s="95">
        <v>6</v>
      </c>
      <c r="V104" s="95"/>
      <c r="W104" s="96">
        <f>SUMIF(K2:K70, "NETMON-OPS", T2:T70)</f>
        <v>0</v>
      </c>
      <c r="X104" s="96">
        <f>SUMIF(K2:K70, "NETMON-MAN", T2:T70)</f>
        <v>0</v>
      </c>
      <c r="Y104" s="96">
        <f>SUMIF(K2:K70, "NETMON-DEV", T2:T70)</f>
        <v>0</v>
      </c>
      <c r="Z104" s="96">
        <f>SUMIF(K2:K70, "NETMON-COORD", T2:T70)</f>
        <v>5778</v>
      </c>
      <c r="AA104" s="96">
        <f>SUMIF(K2:K70, "NETMON-OUT", T2:T70)</f>
        <v>0</v>
      </c>
      <c r="AB104" s="97">
        <f t="shared" si="22"/>
        <v>5778</v>
      </c>
      <c r="AC104" s="98"/>
    </row>
    <row r="105" spans="1:29" ht="18">
      <c r="A105" s="15"/>
      <c r="E105" s="20"/>
      <c r="F105" s="21"/>
      <c r="G105" s="20"/>
      <c r="H105" s="20"/>
      <c r="I105" s="20"/>
      <c r="J105" s="20"/>
      <c r="K105" s="20"/>
      <c r="L105" s="20"/>
      <c r="O105" s="94" t="s">
        <v>154</v>
      </c>
      <c r="P105" s="95">
        <f>SUMIF(L2:L70, "HELP", P2:P70)</f>
        <v>25.966019417475742</v>
      </c>
      <c r="Q105" s="96">
        <f>SUMIF(L2:L70, "HELP", T2:T70)</f>
        <v>230288.88750000001</v>
      </c>
      <c r="R105" s="96">
        <f>SUMIF(L2:L70, "HELP", U2:U70)</f>
        <v>57572.221875000003</v>
      </c>
      <c r="S105" s="96">
        <f>SUMIF(L2:L70, "HELP", V2:V70)+SUMIF(L2:L70, "HELP", X2:X70)</f>
        <v>57572.221875000003</v>
      </c>
      <c r="T105" s="96">
        <f t="shared" si="20"/>
        <v>115144.44375000002</v>
      </c>
      <c r="U105" s="95"/>
      <c r="V105" s="95">
        <f t="shared" si="23"/>
        <v>25.966019417475742</v>
      </c>
      <c r="W105" s="96">
        <f>SUMIF(K2:K70, "HELP-OPS", T2:T70)</f>
        <v>115727.3175</v>
      </c>
      <c r="X105" s="96">
        <f>SUMIF(K2:K70, "HELP", T2:T70)*45%</f>
        <v>51552.706500000008</v>
      </c>
      <c r="Y105" s="96">
        <f>SUMIF(K2:K70, "HELP", T2:T70)*55%</f>
        <v>63008.863500000007</v>
      </c>
      <c r="Z105" s="96">
        <f>SUMIF(K2:K70, "HELP-COORD", T2:T70)</f>
        <v>0</v>
      </c>
      <c r="AA105" s="96">
        <f>SUMIF(K2:K70, "HELP-OUT", T2:T70)</f>
        <v>0</v>
      </c>
      <c r="AB105" s="97">
        <f t="shared" si="22"/>
        <v>230288.88750000001</v>
      </c>
      <c r="AC105" s="98"/>
    </row>
    <row r="106" spans="1:29">
      <c r="A106" s="10"/>
      <c r="E106" s="20"/>
      <c r="F106" s="21"/>
      <c r="G106" s="20"/>
      <c r="H106" s="20"/>
      <c r="I106" s="20"/>
      <c r="J106" s="20"/>
      <c r="K106" s="20"/>
      <c r="L106" s="20"/>
      <c r="O106" s="94" t="s">
        <v>129</v>
      </c>
      <c r="P106" s="95">
        <f>SUMIF(L2:L70, "GOCDB", P2:P70)</f>
        <v>11.490465116279069</v>
      </c>
      <c r="Q106" s="96">
        <f>SUMIF(L2:L70, "GOCDB", T2:T70)</f>
        <v>90016.282000000007</v>
      </c>
      <c r="R106" s="96">
        <f>SUMIF(L2:L70, "GOCDB", U2:U70)</f>
        <v>22504.070500000002</v>
      </c>
      <c r="S106" s="96">
        <f>SUMIF(L2:L70, "GOCDB", V2:V70)+SUMIF(L2:L70, "GOCDB", X2:X70)</f>
        <v>22504.070500000002</v>
      </c>
      <c r="T106" s="96">
        <f t="shared" si="20"/>
        <v>45008.141000000003</v>
      </c>
      <c r="U106" s="95"/>
      <c r="V106" s="95">
        <f t="shared" si="23"/>
        <v>11.490465116279069</v>
      </c>
      <c r="W106" s="96">
        <f>SUMIF(K2:K70, "GOCDB-OPS", T2:T70)</f>
        <v>40068.432000000001</v>
      </c>
      <c r="X106" s="96">
        <f>SUMIF(K2:K70, "GOCDB", T2:T70)*50%</f>
        <v>24973.924999999999</v>
      </c>
      <c r="Y106" s="96">
        <f>SUMIF(K2:K70, "GOCDB", T2:T70)*50%</f>
        <v>24973.924999999999</v>
      </c>
      <c r="Z106" s="96">
        <f>SUMIF(K2:K70, "GOCDB-COORD", T2:T70)</f>
        <v>0</v>
      </c>
      <c r="AA106" s="96">
        <f>SUMIF(K2:K70, "GOCDB-OUT", T2:T70)</f>
        <v>0</v>
      </c>
      <c r="AB106" s="97">
        <f t="shared" si="22"/>
        <v>90016.282000000007</v>
      </c>
      <c r="AC106" s="98"/>
    </row>
    <row r="107" spans="1:29">
      <c r="A107" s="12"/>
      <c r="F107" s="11"/>
      <c r="O107" s="94" t="s">
        <v>215</v>
      </c>
      <c r="P107" s="95">
        <f>SUMIF(L2:L70, "CORE", P2:P70)</f>
        <v>1.5914666666666699</v>
      </c>
      <c r="Q107" s="96">
        <f>SUMIF(L2:L70, "CORE", T2:T70)</f>
        <v>16253.78</v>
      </c>
      <c r="R107" s="96">
        <f>SUMIF(L2:L70, "CORE", U2:U70)</f>
        <v>4063.4450000000002</v>
      </c>
      <c r="S107" s="96">
        <f>SUMIF(L2:L70, "CORE", V2:V70)+SUMIF(L2:L70, "CORE", X2:X70)</f>
        <v>4063.4450000000002</v>
      </c>
      <c r="T107" s="96">
        <f t="shared" si="20"/>
        <v>8126.8900000000012</v>
      </c>
      <c r="U107" s="95"/>
      <c r="V107" s="95">
        <f t="shared" si="23"/>
        <v>1.5914666666666699</v>
      </c>
      <c r="W107" s="96">
        <f>SUMIF(K2:K70, "CORE-OPS", T2:T70)</f>
        <v>16253.78</v>
      </c>
      <c r="X107" s="96">
        <f>SUMIF(K2:K70, "CORE-MAN", T2:T70)</f>
        <v>0</v>
      </c>
      <c r="Y107" s="96">
        <f>SUMIF(K2:K70, "CORE-DEV", T2:T70)</f>
        <v>0</v>
      </c>
      <c r="Z107" s="96">
        <f>SUMIF(K2:K70, "CORE-COORD", T2:T70)</f>
        <v>0</v>
      </c>
      <c r="AA107" s="96">
        <f>SUMIF(K2:K70, "CORE-OUT", T2:T70)</f>
        <v>0</v>
      </c>
      <c r="AB107" s="97">
        <f>SUM(W107:AA107)</f>
        <v>16253.78</v>
      </c>
      <c r="AC107" s="98"/>
    </row>
    <row r="108" spans="1:29">
      <c r="A108" s="13"/>
      <c r="F108" s="11"/>
      <c r="O108" s="94" t="s">
        <v>155</v>
      </c>
      <c r="P108" s="95">
        <f>SUMIF(L2:L70, "INTEROP", P2:P70)</f>
        <v>8.502884451271548</v>
      </c>
      <c r="Q108" s="96">
        <f>SUMIF(L2:L70, "INTEROP", T2:T70)</f>
        <v>66230.010983372922</v>
      </c>
      <c r="R108" s="96">
        <f>SUMIF(L2:L70, "INTEROP", U2:U70)</f>
        <v>16557.502745843231</v>
      </c>
      <c r="S108" s="96">
        <f>SUMIF(L2:L70, "INTEROP", V2:V70)+SUMIF(L2:L70, "INTEROP", X2:X70)</f>
        <v>16557.502745843231</v>
      </c>
      <c r="T108" s="96">
        <f t="shared" si="20"/>
        <v>33115.005491686461</v>
      </c>
      <c r="U108" s="95">
        <f>P108</f>
        <v>8.502884451271548</v>
      </c>
      <c r="V108" s="95"/>
      <c r="W108" s="96">
        <f>SUMIF(K2:K70, "INTEROP-OPS", T2:T70)</f>
        <v>0</v>
      </c>
      <c r="X108" s="96">
        <f>SUMIF(K2:K70, "INTEROP-MAN", T2:T70)</f>
        <v>0</v>
      </c>
      <c r="Y108" s="96">
        <f>SUMIF(K2:K70, "INTEROP-DEV", T2:T70)</f>
        <v>0</v>
      </c>
      <c r="Z108" s="96">
        <f>SUMIF(K2:K70, "INTEROP-COORD", T2:T70)</f>
        <v>66230.010983372922</v>
      </c>
      <c r="AA108" s="96">
        <f>SUMIF(K2:K70, "INTEROP-OUT", T2:T70)</f>
        <v>0</v>
      </c>
      <c r="AB108" s="97">
        <f t="shared" si="22"/>
        <v>66230.010983372922</v>
      </c>
      <c r="AC108" s="98"/>
    </row>
    <row r="109" spans="1:29">
      <c r="A109" s="10"/>
      <c r="F109" s="11"/>
      <c r="O109" s="94" t="s">
        <v>84</v>
      </c>
      <c r="P109" s="95">
        <f>SUMIF(L2:L70, "STAROL", P2:P70)</f>
        <v>9.0073706733794836</v>
      </c>
      <c r="Q109" s="96">
        <f>SUMIF(L2:L70, "STAROL", T2:T70)</f>
        <v>40877.212</v>
      </c>
      <c r="R109" s="96">
        <f>SUMIF(L2:L70, "STAROL", U2:U70)</f>
        <v>10219.303</v>
      </c>
      <c r="S109" s="96">
        <f>SUMIF(L2:L70, "STAROL", V2:V70)+SUMIF(L2:L70, "STAROL", X2:X70)</f>
        <v>10219.303</v>
      </c>
      <c r="T109" s="96">
        <f t="shared" si="20"/>
        <v>20438.606</v>
      </c>
      <c r="U109" s="95">
        <f>P109</f>
        <v>9.0073706733794836</v>
      </c>
      <c r="V109" s="95"/>
      <c r="W109" s="96">
        <f>SUMIF(K2:K70, "STAROL-OPS", T2:T70)</f>
        <v>0</v>
      </c>
      <c r="X109" s="96">
        <f>SUMIF(K2:K70, "STAROL-MAN", T2:T70)</f>
        <v>0</v>
      </c>
      <c r="Y109" s="96">
        <f>SUMIF(K2:K70, "STAROL-DEV", T2:T70)</f>
        <v>0</v>
      </c>
      <c r="Z109" s="96">
        <f>SUMIF(K2:K70, "STAROL-COORD", T2:T70)</f>
        <v>40877.212</v>
      </c>
      <c r="AA109" s="96">
        <f>SUMIF(K2:K70, "STAROL-OUT", T2:T70)</f>
        <v>0</v>
      </c>
      <c r="AB109" s="97">
        <f t="shared" si="22"/>
        <v>40877.212</v>
      </c>
      <c r="AC109" s="98"/>
    </row>
    <row r="110" spans="1:29">
      <c r="A110" s="12"/>
      <c r="F110" s="11"/>
      <c r="O110" s="94" t="s">
        <v>156</v>
      </c>
      <c r="P110" s="95">
        <f>SUMIF(L2:L70, "TPM", P2:P70)</f>
        <v>14.897133610725847</v>
      </c>
      <c r="Q110" s="96">
        <f>SUMIF(L2:L70, "TPM", T2:T70)</f>
        <v>109900.1525</v>
      </c>
      <c r="R110" s="96">
        <f>SUMIF(L2:L70, "TPM", U2:U70)</f>
        <v>27475.038124999999</v>
      </c>
      <c r="S110" s="96">
        <f>SUMIF(L2:L70, "TPM", V2:V70)+SUMIF(L2:L70, "TPM", X2:X70)</f>
        <v>27475.038124999999</v>
      </c>
      <c r="T110" s="96">
        <f t="shared" si="20"/>
        <v>54950.076250000006</v>
      </c>
      <c r="U110" s="95">
        <f>P110</f>
        <v>14.897133610725847</v>
      </c>
      <c r="V110" s="95"/>
      <c r="W110" s="96">
        <f>SUMIF(K2:K70, "TPM-OPS", T2:T70)</f>
        <v>0</v>
      </c>
      <c r="X110" s="96">
        <f>SUMIF(K2:K70, "TPM-MAN", T2:T70)</f>
        <v>0</v>
      </c>
      <c r="Y110" s="96">
        <f>SUMIF(K2:K70, "TPM-DEV", T2:T70)</f>
        <v>0</v>
      </c>
      <c r="Z110" s="96">
        <f>SUMIF(K2:K70, "TPM-COORD", T2:T70)</f>
        <v>109900.1525</v>
      </c>
      <c r="AA110" s="96">
        <f>SUMIF(K2:K70, "TPM-OUT", T2:T70)</f>
        <v>0</v>
      </c>
      <c r="AB110" s="97">
        <f t="shared" si="22"/>
        <v>109900.1525</v>
      </c>
      <c r="AC110" s="98"/>
    </row>
    <row r="111" spans="1:29" s="9" customFormat="1">
      <c r="A111" s="13"/>
      <c r="C111" s="14"/>
      <c r="E111"/>
      <c r="F111" s="11"/>
      <c r="G111"/>
      <c r="H111"/>
      <c r="I111"/>
      <c r="J111"/>
      <c r="K111"/>
      <c r="L111"/>
      <c r="O111" s="94" t="s">
        <v>157</v>
      </c>
      <c r="P111" s="95">
        <f>SUMIF(L2:L70, "DMSU", P2:P70)</f>
        <v>36.743915343915347</v>
      </c>
      <c r="Q111" s="96">
        <f>SUMIF(L2:L70, "DMSU", T2:T70)</f>
        <v>280320.92042531999</v>
      </c>
      <c r="R111" s="96">
        <f>SUMIF(L2:L70, "DMSU", U2:U70)</f>
        <v>70080.230106329996</v>
      </c>
      <c r="S111" s="96">
        <f>SUMIF(L2:L70, "DMSU", V2:V70)+SUMIF(L2:L70, "DMSU", X2:X70)</f>
        <v>70080.230106329996</v>
      </c>
      <c r="T111" s="96">
        <f t="shared" si="20"/>
        <v>140160.46021265996</v>
      </c>
      <c r="U111" s="95">
        <f>P111</f>
        <v>36.743915343915347</v>
      </c>
      <c r="V111" s="95"/>
      <c r="W111" s="96">
        <f>SUMIF(K2:K70, "DMSU-OPS", T2:T70)</f>
        <v>0</v>
      </c>
      <c r="X111" s="96">
        <f>SUMIF(K2:K70, "DMSU-MAN", T2:T70)</f>
        <v>0</v>
      </c>
      <c r="Y111" s="96">
        <f>SUMIF(K2:K70, "DMSU-DEV", T2:T70)</f>
        <v>0</v>
      </c>
      <c r="Z111" s="96">
        <f>SUMIF(K2:K70, "DMSU-COORD", T2:T70)</f>
        <v>280320.92042531999</v>
      </c>
      <c r="AA111" s="96">
        <f>SUMIF(K2:K70, "DMSU-OUT", T2:T70)</f>
        <v>0</v>
      </c>
      <c r="AB111" s="97">
        <f t="shared" si="22"/>
        <v>280320.92042531999</v>
      </c>
      <c r="AC111" s="98"/>
    </row>
    <row r="112" spans="1:29" ht="18">
      <c r="A112" s="15"/>
      <c r="F112" s="11"/>
      <c r="O112" s="94" t="s">
        <v>158</v>
      </c>
      <c r="P112" s="95">
        <f>SUMIF(L2:L70, "COD", P2:P70)</f>
        <v>14.102554389799153</v>
      </c>
      <c r="Q112" s="96">
        <f>SUMIF(L2:L70, "COD", T2:T70)</f>
        <v>140381.50480879762</v>
      </c>
      <c r="R112" s="96">
        <f>SUMIF(L2:L70, "COD", U2:U70)</f>
        <v>35095.376202199404</v>
      </c>
      <c r="S112" s="96">
        <f>SUMIF(L2:L70, "COD", V2:V70)+SUMIF(L2:L70, "COD", X2:X70)</f>
        <v>35095.376202199404</v>
      </c>
      <c r="T112" s="96">
        <f t="shared" si="20"/>
        <v>70190.752404398809</v>
      </c>
      <c r="U112" s="95">
        <f>P112</f>
        <v>14.102554389799153</v>
      </c>
      <c r="V112" s="95"/>
      <c r="W112" s="96">
        <f>SUMIF(K2:K70, "COD-OPS", T2:T70)</f>
        <v>0</v>
      </c>
      <c r="X112" s="96">
        <f>SUMIF(K2:K70, "COD-MAN", T2:T70)</f>
        <v>0</v>
      </c>
      <c r="Y112" s="96">
        <f>SUMIF(K2:K70, "COD-DEV", T2:T70)</f>
        <v>0</v>
      </c>
      <c r="Z112" s="96">
        <f>SUMIF(K2:K70, "COD-COORD", T2:T70)</f>
        <v>140381.50480879762</v>
      </c>
      <c r="AA112" s="96">
        <f>SUMIF(K2:K70, "COD-OUT", T2:T70)</f>
        <v>0</v>
      </c>
      <c r="AB112" s="97">
        <f t="shared" si="22"/>
        <v>140381.50480879762</v>
      </c>
      <c r="AC112" s="98"/>
    </row>
    <row r="113" spans="1:29">
      <c r="A113" s="10"/>
      <c r="O113" s="94" t="s">
        <v>159</v>
      </c>
      <c r="P113" s="95">
        <f>SUMIF(L2:L70, "ARM", P2:P70)</f>
        <v>1.5914666666666699</v>
      </c>
      <c r="Q113" s="96">
        <f>SUMIF(L2:L70, "ARM", T2:T70)</f>
        <v>16253.78</v>
      </c>
      <c r="R113" s="96">
        <f>SUMIF(L2:L70, "ARM", U2:U70)</f>
        <v>4063.4450000000002</v>
      </c>
      <c r="S113" s="96">
        <f>SUMIF(L2:L70, "ARM", V2:V70)+SUMIF(L2:L70, "ARM", X2:X70)</f>
        <v>4063.4450000000002</v>
      </c>
      <c r="T113" s="96">
        <f t="shared" si="20"/>
        <v>8126.8900000000012</v>
      </c>
      <c r="U113" s="95"/>
      <c r="V113" s="95">
        <f>P113</f>
        <v>1.5914666666666699</v>
      </c>
      <c r="W113" s="96">
        <f>SUMIF(K2:K70, "ARM-OPS", T2:T70)</f>
        <v>16253.78</v>
      </c>
      <c r="X113" s="96">
        <f>SUMIF(K2:K70, "ARM-MAN", T2:T70)</f>
        <v>0</v>
      </c>
      <c r="Y113" s="96">
        <f>SUMIF(K2:K70, "ARM-DEV", T2:T70)</f>
        <v>0</v>
      </c>
      <c r="Z113" s="96">
        <f>SUMIF(K2:K70, "ARM-COORD", T2:T70)</f>
        <v>0</v>
      </c>
      <c r="AA113" s="96">
        <f>SUMIF(K2:K70, "ARM-OUT", T2:T70)</f>
        <v>0</v>
      </c>
      <c r="AB113" s="97">
        <f t="shared" si="22"/>
        <v>16253.78</v>
      </c>
      <c r="AC113" s="98"/>
    </row>
    <row r="114" spans="1:29">
      <c r="A114" s="12"/>
      <c r="E114" s="9"/>
      <c r="F114" s="9"/>
      <c r="G114" s="9"/>
      <c r="H114" s="9"/>
      <c r="I114" s="9"/>
      <c r="J114" s="9"/>
      <c r="K114" s="9"/>
      <c r="O114" s="94" t="s">
        <v>160</v>
      </c>
      <c r="P114" s="95">
        <f>SUMIF(L2:L70, "SECUR", P2:P70)</f>
        <v>15.906909765767399</v>
      </c>
      <c r="Q114" s="96">
        <f>SUMIF(L2:L70, "SECUR", T2:T70)</f>
        <v>121105.48149999999</v>
      </c>
      <c r="R114" s="96">
        <f>SUMIF(L2:L70, "SECUR", U2:U70)</f>
        <v>30276.370374999999</v>
      </c>
      <c r="S114" s="96">
        <f>SUMIF(L2:L70, "SECUR", V2:V70)+SUMIF(L2:L70, "SECUR", X2:X70)</f>
        <v>30276.370374999999</v>
      </c>
      <c r="T114" s="96">
        <f t="shared" si="20"/>
        <v>60552.740749999997</v>
      </c>
      <c r="U114" s="95">
        <f>P114</f>
        <v>15.906909765767399</v>
      </c>
      <c r="V114" s="95"/>
      <c r="W114" s="96">
        <f>SUMIF(K2:K70, "SECUR-OPS", T2:T70)</f>
        <v>0</v>
      </c>
      <c r="X114" s="96">
        <f>SUMIF(K2:K70, "SECUR-MAN", T2:T70)</f>
        <v>0</v>
      </c>
      <c r="Y114" s="96">
        <f>SUMIF(K2:K70, "SECUR-DEV", T2:T70)</f>
        <v>0</v>
      </c>
      <c r="Z114" s="96">
        <f>SUMIF(K2:K70, "SECUR-COORD", T2:T70)</f>
        <v>121105.48149999999</v>
      </c>
      <c r="AA114" s="96">
        <f>SUMIF(K2:K70, "SECUR-OUT", T2:T70)</f>
        <v>0</v>
      </c>
      <c r="AB114" s="97">
        <f t="shared" si="22"/>
        <v>121105.48149999999</v>
      </c>
      <c r="AC114" s="98"/>
    </row>
    <row r="115" spans="1:29" s="9" customFormat="1">
      <c r="A115" s="13"/>
      <c r="C115" s="14"/>
      <c r="E115"/>
      <c r="F115"/>
      <c r="G115"/>
      <c r="H115"/>
      <c r="I115"/>
      <c r="J115"/>
      <c r="K115"/>
      <c r="L115"/>
      <c r="O115" s="94" t="s">
        <v>161</v>
      </c>
      <c r="P115" s="95">
        <f>SUMIF(L2:L70, "DOC", P2:P70)</f>
        <v>1.4957714285714279</v>
      </c>
      <c r="Q115" s="96">
        <f>SUMIF(L2:L70, "DOC", T2:T70)</f>
        <v>14812.7</v>
      </c>
      <c r="R115" s="96">
        <f>SUMIF(L2:L70, "DOC", U2:U70)</f>
        <v>3703.1750000000002</v>
      </c>
      <c r="S115" s="96">
        <f>SUMIF(L2:L70, "DOC", V2:V70)+SUMIF(L2:L70, "DOC", X2:X70)</f>
        <v>3703.1750000000002</v>
      </c>
      <c r="T115" s="96">
        <f t="shared" si="20"/>
        <v>7406.3500000000013</v>
      </c>
      <c r="U115" s="95">
        <f>P115</f>
        <v>1.4957714285714279</v>
      </c>
      <c r="V115" s="95"/>
      <c r="W115" s="96">
        <f>SUMIF(K2:K70, "DOC-OPS", T2:T70)</f>
        <v>0</v>
      </c>
      <c r="X115" s="96">
        <f>SUMIF(K2:K70, "DOC-MAN", T2:T70)</f>
        <v>0</v>
      </c>
      <c r="Y115" s="96">
        <f>SUMIF(K2:K70, "DOC-DEV", T2:T70)</f>
        <v>0</v>
      </c>
      <c r="Z115" s="96">
        <f>SUMIF(K2:K70, "DOC-COORD", T2:T70)</f>
        <v>14812.7</v>
      </c>
      <c r="AA115" s="96">
        <f>SUMIF(K2:K70, "DOC-OUT", T2:T70)</f>
        <v>0</v>
      </c>
      <c r="AB115" s="97">
        <f t="shared" si="22"/>
        <v>14812.7</v>
      </c>
      <c r="AC115" s="98"/>
    </row>
    <row r="116" spans="1:29" ht="16" customHeight="1">
      <c r="A116" s="15"/>
      <c r="O116" s="22"/>
      <c r="P116" s="30">
        <f t="shared" ref="P116:AA116" si="24">SUM(P85:P115)</f>
        <v>574.32171864469865</v>
      </c>
      <c r="Q116" s="31">
        <f t="shared" si="24"/>
        <v>4710326.1815989194</v>
      </c>
      <c r="R116" s="31">
        <f t="shared" si="24"/>
        <v>2193774.4076733808</v>
      </c>
      <c r="S116" s="31">
        <f t="shared" si="24"/>
        <v>1129835.6825378605</v>
      </c>
      <c r="T116" s="31">
        <f t="shared" si="24"/>
        <v>1386716.0913876779</v>
      </c>
      <c r="U116" s="30">
        <f t="shared" si="24"/>
        <v>412.87693956475709</v>
      </c>
      <c r="V116" s="30">
        <f t="shared" si="24"/>
        <v>172.5349731278101</v>
      </c>
      <c r="W116" s="31">
        <f t="shared" si="24"/>
        <v>732857.9361611869</v>
      </c>
      <c r="X116" s="31">
        <f t="shared" si="24"/>
        <v>322759.64101200004</v>
      </c>
      <c r="Y116" s="31">
        <f t="shared" si="24"/>
        <v>582209.90220824291</v>
      </c>
      <c r="Z116" s="31">
        <f t="shared" si="24"/>
        <v>2042944.3845976796</v>
      </c>
      <c r="AA116" s="31">
        <f t="shared" si="24"/>
        <v>1041409.8376198105</v>
      </c>
      <c r="AB116" s="33">
        <f>SUM(W116:AA116)</f>
        <v>4722181.7015989199</v>
      </c>
      <c r="AC116" s="9"/>
    </row>
    <row r="117" spans="1:29" ht="15">
      <c r="A117" s="10"/>
      <c r="M117" s="34"/>
      <c r="N117" s="34"/>
      <c r="O117" s="34"/>
      <c r="P117" s="36"/>
      <c r="Q117" s="44">
        <f>SUM(R116:T116)</f>
        <v>4710326.1815989194</v>
      </c>
      <c r="R117" s="9"/>
      <c r="V117"/>
      <c r="W117"/>
      <c r="X117" s="24"/>
      <c r="Y117" s="9"/>
      <c r="Z117" s="33"/>
      <c r="AA117" s="17"/>
      <c r="AC117" s="9"/>
    </row>
    <row r="118" spans="1:29" ht="15">
      <c r="A118" s="12"/>
      <c r="D118" s="9"/>
      <c r="E118" s="9"/>
      <c r="F118" s="9"/>
      <c r="G118" s="9"/>
      <c r="H118" s="9"/>
      <c r="I118" s="9"/>
      <c r="M118" s="34"/>
      <c r="N118" s="34"/>
      <c r="O118" s="22"/>
      <c r="P118" s="23" t="s">
        <v>281</v>
      </c>
      <c r="Q118" s="23" t="s">
        <v>249</v>
      </c>
      <c r="R118" s="23" t="s">
        <v>250</v>
      </c>
      <c r="S118" s="23" t="s">
        <v>251</v>
      </c>
      <c r="V118" s="24"/>
      <c r="X118" s="35"/>
      <c r="Y118" s="9"/>
    </row>
    <row r="119" spans="1:29" ht="15">
      <c r="A119" s="13"/>
      <c r="M119" s="24"/>
      <c r="N119" s="24"/>
      <c r="O119" s="54" t="s">
        <v>252</v>
      </c>
      <c r="P119" s="23"/>
      <c r="Q119" s="23"/>
      <c r="R119" s="23"/>
      <c r="S119" s="23"/>
      <c r="T119" s="24"/>
      <c r="U119" s="9"/>
      <c r="V119" s="108">
        <v>72000000</v>
      </c>
      <c r="W119" s="109" t="s">
        <v>293</v>
      </c>
      <c r="X119"/>
    </row>
    <row r="120" spans="1:29">
      <c r="A120" s="10"/>
      <c r="M120" s="24"/>
      <c r="N120" s="24"/>
      <c r="O120" s="26" t="s">
        <v>226</v>
      </c>
      <c r="P120" s="29">
        <f>SUMIF(M2:M70, "GOV", P2:P70)</f>
        <v>75.116666666666674</v>
      </c>
      <c r="Q120" s="27">
        <f>SUMIF(M2:M70, "GOV", T2:T70)</f>
        <v>585712.13805619441</v>
      </c>
      <c r="R120" s="27"/>
      <c r="S120" s="27"/>
      <c r="T120" s="24"/>
      <c r="U120" s="9" t="s">
        <v>294</v>
      </c>
      <c r="V120" s="33"/>
      <c r="W120" s="33"/>
      <c r="X120" s="55"/>
    </row>
    <row r="121" spans="1:29">
      <c r="A121" s="12"/>
      <c r="M121" s="24"/>
      <c r="N121" s="24"/>
      <c r="O121" s="22" t="s">
        <v>133</v>
      </c>
      <c r="P121" s="29">
        <f>SUMIF(M2:M70, "TECHMGT", P2:P70)</f>
        <v>85.530000000000015</v>
      </c>
      <c r="Q121" s="27">
        <f>SUMIF(M2:M70, "TECHMGT", T2:T70)</f>
        <v>748570.64681489079</v>
      </c>
      <c r="R121" s="27"/>
      <c r="S121" s="27"/>
      <c r="T121" s="24"/>
      <c r="U121" s="9" t="s">
        <v>295</v>
      </c>
      <c r="V121" s="33"/>
      <c r="W121" s="55"/>
    </row>
    <row r="122" spans="1:29" ht="18">
      <c r="A122" s="15"/>
      <c r="O122" s="22" t="s">
        <v>134</v>
      </c>
      <c r="P122" s="29">
        <f>SUMIF(M2:M70, "COMENG", P2:P70)</f>
        <v>90.02</v>
      </c>
      <c r="Q122" s="27">
        <f>SUMIF(M2:M70, "COMENG", T2:T70)</f>
        <v>624115.93512891443</v>
      </c>
      <c r="R122" s="27"/>
      <c r="S122" s="27"/>
      <c r="U122" s="9" t="s">
        <v>296</v>
      </c>
      <c r="V122" s="55">
        <f>(Q123+Q124+Q126+Q127+Q129)*4</f>
        <v>8721497.7644269988</v>
      </c>
      <c r="W122" s="110">
        <f>V122/V119</f>
        <v>0.12113191339481942</v>
      </c>
      <c r="Y122" s="9"/>
      <c r="Z122" s="9"/>
    </row>
    <row r="123" spans="1:29" s="9" customFormat="1">
      <c r="A123" s="10"/>
      <c r="C123" s="14"/>
      <c r="O123" s="22" t="s">
        <v>223</v>
      </c>
      <c r="P123" s="29">
        <f>SUMIF(M2:M70, "OPDEV", P2:P70)</f>
        <v>29.340560694246921</v>
      </c>
      <c r="Q123" s="27">
        <f>SUMIF(M2:M70, "OPDEV", T2:T70)</f>
        <v>261968.83588217877</v>
      </c>
      <c r="R123" s="27"/>
      <c r="S123" s="27"/>
      <c r="U123" s="9" t="s">
        <v>297</v>
      </c>
      <c r="V123" s="35">
        <f>(Q120+Q121+Q122+Q128)*4</f>
        <v>10028243.62116868</v>
      </c>
      <c r="W123" s="110">
        <f>V123/V119</f>
        <v>0.13928116140512056</v>
      </c>
      <c r="X123"/>
      <c r="Y123"/>
      <c r="Z123"/>
    </row>
    <row r="124" spans="1:29">
      <c r="A124" s="12"/>
      <c r="O124" s="22" t="s">
        <v>253</v>
      </c>
      <c r="P124" s="29">
        <f>SUMIF(M2:M70, "CTDEV", P2:P70)</f>
        <v>41.271201753623302</v>
      </c>
      <c r="Q124" s="27">
        <f>Y89+Y93+Y96+Y97</f>
        <v>195248.030297196</v>
      </c>
      <c r="R124" s="27"/>
      <c r="S124" s="27"/>
      <c r="U124" s="56"/>
      <c r="V124" s="33">
        <f>SUM(V122:V123)</f>
        <v>18749741.385595679</v>
      </c>
      <c r="X124" s="35">
        <f>4710326</f>
        <v>4710326</v>
      </c>
      <c r="Y124" s="9"/>
      <c r="Z124" s="9"/>
    </row>
    <row r="125" spans="1:29" s="9" customFormat="1">
      <c r="A125" s="13"/>
      <c r="C125" s="14"/>
      <c r="O125" s="54" t="s">
        <v>254</v>
      </c>
      <c r="P125" s="29"/>
      <c r="Q125" s="27"/>
      <c r="R125" s="27"/>
      <c r="S125" s="27"/>
      <c r="U125"/>
      <c r="X125"/>
      <c r="Y125"/>
      <c r="Z125"/>
    </row>
    <row r="126" spans="1:29" ht="18">
      <c r="A126" s="15"/>
      <c r="O126" s="22" t="s">
        <v>255</v>
      </c>
      <c r="P126" s="29">
        <f>SUMIF(M2:M70, "IST", P2:P70)</f>
        <v>99.605356711685943</v>
      </c>
      <c r="Q126" s="27">
        <f>SUMIF(M2:M70, "IST", T2:T70)</f>
        <v>1076100.049627756</v>
      </c>
      <c r="R126" s="27"/>
      <c r="S126" s="27"/>
      <c r="U126" s="56"/>
      <c r="X126"/>
    </row>
    <row r="127" spans="1:29">
      <c r="A127" s="10"/>
      <c r="O127" s="22" t="s">
        <v>137</v>
      </c>
      <c r="P127" s="29">
        <f>SUMIF(M2:M70, "SUPP", P2:P70)</f>
        <v>51.641048954641192</v>
      </c>
      <c r="Q127" s="27">
        <f>SUMIF(M2:M70, "SUPP", T2:T70)</f>
        <v>390221.07292531995</v>
      </c>
      <c r="R127" s="27"/>
      <c r="S127" s="27"/>
      <c r="X127"/>
    </row>
    <row r="128" spans="1:29">
      <c r="A128" s="12"/>
      <c r="O128" s="22" t="s">
        <v>256</v>
      </c>
      <c r="P128" s="29">
        <f>SUMIF(M2:M70, "OMC", P2:P70)</f>
        <v>62.124394197659946</v>
      </c>
      <c r="Q128" s="27">
        <f>SUMIF(M2:M70, "OMC", T2:T70)</f>
        <v>548662.18529217062</v>
      </c>
      <c r="R128" s="27"/>
      <c r="S128" s="27"/>
      <c r="U128" s="56"/>
      <c r="X128"/>
    </row>
    <row r="129" spans="1:27">
      <c r="A129" s="13"/>
      <c r="N129" s="57"/>
      <c r="O129" s="22" t="s">
        <v>257</v>
      </c>
      <c r="P129" s="29">
        <f>SUMIF(M2:M70, "CTS", P2:P70)</f>
        <v>39.672489666174833</v>
      </c>
      <c r="Q129" s="27">
        <f>W89+W93+W96+W97+W107+Z95</f>
        <v>256836.45237429903</v>
      </c>
      <c r="R129" s="27"/>
      <c r="S129" s="27"/>
      <c r="X129"/>
    </row>
    <row r="130" spans="1:27" ht="18">
      <c r="A130" s="15"/>
      <c r="O130" s="22"/>
      <c r="P130" s="30">
        <f>SUM(P120:P129)</f>
        <v>574.32171864469876</v>
      </c>
      <c r="Q130" s="107">
        <f>SUM(Q120:Q129)</f>
        <v>4687435.3463989198</v>
      </c>
      <c r="R130" s="27"/>
      <c r="S130" s="27"/>
      <c r="U130" s="56"/>
      <c r="X130"/>
    </row>
    <row r="131" spans="1:27">
      <c r="A131" s="10"/>
    </row>
    <row r="132" spans="1:27">
      <c r="A132" s="12"/>
      <c r="O132" s="105" t="s">
        <v>246</v>
      </c>
      <c r="P132" s="27">
        <f>SUMIF(N2:N70, "EC", T2:T70)</f>
        <v>2268552.3516253498</v>
      </c>
      <c r="Y132" s="9"/>
      <c r="Z132" s="9"/>
      <c r="AA132" s="9"/>
    </row>
    <row r="133" spans="1:27" s="9" customFormat="1">
      <c r="A133" s="13"/>
      <c r="C133" s="14"/>
      <c r="O133" s="105" t="s">
        <v>258</v>
      </c>
      <c r="P133" s="27">
        <f>SUMIF(N2:N70, "COMM", T2:T70)</f>
        <v>2441773.8299735701</v>
      </c>
      <c r="Q133"/>
      <c r="R133"/>
      <c r="S133"/>
      <c r="T133"/>
      <c r="Y133"/>
      <c r="Z133"/>
      <c r="AA133"/>
    </row>
    <row r="134" spans="1:27" ht="15">
      <c r="A134" s="16"/>
      <c r="P134" s="106">
        <f>SUM(P132:P133)</f>
        <v>4710326.1815989204</v>
      </c>
      <c r="T134" s="9"/>
    </row>
    <row r="135" spans="1:27">
      <c r="A135" s="10"/>
      <c r="O135" s="9"/>
      <c r="P135" s="9"/>
      <c r="Q135" s="9"/>
      <c r="R135" s="9"/>
      <c r="S135" s="9"/>
    </row>
    <row r="136" spans="1:27">
      <c r="A136" s="12"/>
    </row>
    <row r="137" spans="1:27">
      <c r="A137" s="13"/>
    </row>
    <row r="138" spans="1:27">
      <c r="A138" s="10"/>
    </row>
    <row r="139" spans="1:27">
      <c r="A139" s="12"/>
    </row>
    <row r="140" spans="1:27">
      <c r="A140" s="13"/>
    </row>
    <row r="141" spans="1:27">
      <c r="A141" s="10"/>
    </row>
    <row r="142" spans="1:27">
      <c r="A142" s="12"/>
      <c r="Y142" s="9"/>
      <c r="Z142" s="9"/>
      <c r="AA142" s="9"/>
    </row>
    <row r="143" spans="1:27" s="9" customFormat="1">
      <c r="A143" s="13"/>
      <c r="C143" s="14"/>
      <c r="O143"/>
      <c r="P143"/>
      <c r="Q143"/>
      <c r="R143"/>
      <c r="S143"/>
      <c r="T143"/>
      <c r="Y143"/>
      <c r="Z143"/>
      <c r="AA143"/>
    </row>
    <row r="144" spans="1:27">
      <c r="A144" s="16"/>
      <c r="T144" s="9"/>
    </row>
    <row r="145" spans="1:27">
      <c r="A145" s="10"/>
      <c r="O145" s="9"/>
      <c r="P145" s="9"/>
      <c r="Q145" s="9"/>
      <c r="R145" s="9"/>
      <c r="S145" s="9"/>
    </row>
    <row r="146" spans="1:27">
      <c r="A146" s="12"/>
      <c r="Y146" s="9"/>
      <c r="Z146" s="9"/>
      <c r="AA146" s="9"/>
    </row>
    <row r="147" spans="1:27" s="9" customFormat="1">
      <c r="A147" s="13"/>
      <c r="C147" s="14"/>
      <c r="O147"/>
      <c r="P147"/>
      <c r="Q147"/>
      <c r="R147"/>
      <c r="S147"/>
      <c r="T147"/>
      <c r="Y147"/>
      <c r="Z147"/>
      <c r="AA147"/>
    </row>
    <row r="148" spans="1:27">
      <c r="A148" s="16"/>
      <c r="T148" s="9"/>
    </row>
    <row r="149" spans="1:27">
      <c r="A149" s="10"/>
      <c r="O149" s="9"/>
      <c r="P149" s="9"/>
      <c r="Q149" s="9"/>
      <c r="R149" s="9"/>
      <c r="S149" s="9"/>
    </row>
    <row r="150" spans="1:27">
      <c r="A150" s="12"/>
      <c r="Y150" s="9"/>
      <c r="Z150" s="9"/>
      <c r="AA150" s="9"/>
    </row>
    <row r="151" spans="1:27" s="9" customFormat="1">
      <c r="A151" s="13"/>
      <c r="C151" s="14"/>
      <c r="O151"/>
      <c r="P151"/>
      <c r="Q151"/>
      <c r="R151"/>
      <c r="S151"/>
      <c r="T151"/>
      <c r="Y151"/>
      <c r="Z151"/>
      <c r="AA151"/>
    </row>
    <row r="152" spans="1:27">
      <c r="A152" s="16"/>
      <c r="T152" s="9"/>
    </row>
    <row r="153" spans="1:27">
      <c r="A153" s="10"/>
      <c r="O153" s="9"/>
      <c r="P153" s="9"/>
      <c r="Q153" s="9"/>
      <c r="R153" s="9"/>
      <c r="S153" s="9"/>
    </row>
    <row r="154" spans="1:27">
      <c r="A154" s="12"/>
      <c r="Y154" s="9"/>
      <c r="Z154" s="9"/>
      <c r="AA154" s="9"/>
    </row>
    <row r="155" spans="1:27" s="9" customFormat="1">
      <c r="A155" s="13"/>
      <c r="C155" s="14"/>
      <c r="O155"/>
      <c r="P155"/>
      <c r="Q155"/>
      <c r="R155"/>
      <c r="S155"/>
      <c r="T155"/>
      <c r="Y155"/>
      <c r="Z155"/>
      <c r="AA155"/>
    </row>
    <row r="156" spans="1:27">
      <c r="A156" s="16"/>
      <c r="T156" s="9"/>
    </row>
    <row r="157" spans="1:27">
      <c r="A157" s="10"/>
      <c r="O157" s="9"/>
      <c r="P157" s="9"/>
      <c r="Q157" s="9"/>
      <c r="R157" s="9"/>
      <c r="S157" s="9"/>
    </row>
    <row r="158" spans="1:27">
      <c r="A158" s="12"/>
    </row>
    <row r="159" spans="1:27">
      <c r="A159" s="13"/>
    </row>
    <row r="160" spans="1:27">
      <c r="A160" s="10"/>
    </row>
    <row r="161" spans="1:27">
      <c r="A161" s="12"/>
    </row>
    <row r="162" spans="1:27">
      <c r="A162" s="13"/>
    </row>
    <row r="163" spans="1:27">
      <c r="A163" s="10"/>
    </row>
    <row r="164" spans="1:27">
      <c r="A164" s="12"/>
    </row>
    <row r="165" spans="1:27">
      <c r="A165" s="13"/>
      <c r="Y165" s="9"/>
      <c r="Z165" s="9"/>
      <c r="AA165" s="9"/>
    </row>
    <row r="166" spans="1:27" s="9" customFormat="1">
      <c r="A166" s="10"/>
      <c r="C166" s="14"/>
      <c r="O166"/>
      <c r="P166"/>
      <c r="Q166"/>
      <c r="R166"/>
      <c r="S166"/>
      <c r="T166"/>
      <c r="Y166"/>
      <c r="Z166"/>
      <c r="AA166"/>
    </row>
    <row r="167" spans="1:27">
      <c r="A167" s="12"/>
      <c r="T167" s="9"/>
    </row>
    <row r="168" spans="1:27">
      <c r="A168" s="13"/>
      <c r="O168" s="9"/>
      <c r="P168" s="9"/>
      <c r="Q168" s="9"/>
      <c r="R168" s="9"/>
      <c r="S168" s="9"/>
    </row>
    <row r="169" spans="1:27">
      <c r="A169" s="16"/>
    </row>
  </sheetData>
  <autoFilter ref="A1:AB1">
    <sortState ref="A2:AB71">
      <sortCondition ref="I1:I71"/>
    </sortState>
  </autoFilter>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Service_Cost_Summary</vt:lpstr>
      <vt:lpstr>Cost_Breakdown_ActivityandType</vt:lpstr>
      <vt:lpstr>GT_Cost_DataSheet_PY2</vt:lpstr>
      <vt:lpstr>Project real cost_PY2(old)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cbitoune</dc:creator>
  <cp:lastModifiedBy>Sergio Andreozzi</cp:lastModifiedBy>
  <cp:lastPrinted>2013-01-11T13:41:03Z</cp:lastPrinted>
  <dcterms:created xsi:type="dcterms:W3CDTF">2011-12-21T08:16:15Z</dcterms:created>
  <dcterms:modified xsi:type="dcterms:W3CDTF">2013-01-11T18:18:26Z</dcterms:modified>
</cp:coreProperties>
</file>